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drianhansen/Desktop/Skjeberg Golfklubb/"/>
    </mc:Choice>
  </mc:AlternateContent>
  <xr:revisionPtr revIDLastSave="0" documentId="8_{B27035AB-FE76-EB44-92E3-5767D6AB6B12}" xr6:coauthVersionLast="47" xr6:coauthVersionMax="47" xr10:uidLastSave="{00000000-0000-0000-0000-000000000000}"/>
  <bookViews>
    <workbookView xWindow="0" yWindow="780" windowWidth="23260" windowHeight="12460" xr2:uid="{00000000-000D-0000-FFFF-FFFF00000000}"/>
  </bookViews>
  <sheets>
    <sheet name="Budsjett 2025" sheetId="1" r:id="rId1"/>
    <sheet name="Faktisk 2024 pr mnd" sheetId="2" r:id="rId2"/>
    <sheet name="Budsjett 2024 pr mn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2" i="1"/>
  <c r="E26" i="1"/>
  <c r="E15" i="1"/>
  <c r="E43" i="1" s="1"/>
  <c r="I43" i="1"/>
  <c r="N20" i="2" l="1"/>
  <c r="M20" i="2"/>
  <c r="L20" i="2"/>
  <c r="K20" i="2"/>
  <c r="J20" i="2"/>
  <c r="I20" i="2"/>
  <c r="H20" i="2"/>
  <c r="G20" i="2"/>
  <c r="F20" i="2"/>
  <c r="E20" i="2"/>
  <c r="J29" i="2" l="1"/>
  <c r="I29" i="2"/>
  <c r="H29" i="2"/>
  <c r="G29" i="2"/>
  <c r="F29" i="2"/>
  <c r="M25" i="2" l="1"/>
  <c r="M31" i="2"/>
  <c r="M23" i="2"/>
  <c r="M21" i="2"/>
  <c r="M19" i="2"/>
  <c r="L18" i="2"/>
  <c r="J32" i="2"/>
  <c r="K9" i="2"/>
  <c r="L7" i="2"/>
  <c r="L21" i="2"/>
  <c r="J25" i="2"/>
  <c r="J24" i="2"/>
  <c r="J23" i="2"/>
  <c r="K31" i="2"/>
  <c r="K30" i="2"/>
  <c r="H31" i="2"/>
  <c r="H30" i="2"/>
  <c r="I25" i="2"/>
  <c r="I24" i="2"/>
  <c r="H23" i="2"/>
  <c r="I21" i="2"/>
  <c r="I19" i="2"/>
  <c r="I9" i="2"/>
  <c r="I7" i="2"/>
  <c r="G23" i="2"/>
  <c r="G45" i="2"/>
  <c r="G36" i="2"/>
  <c r="G25" i="2"/>
  <c r="G24" i="2"/>
  <c r="G18" i="2"/>
  <c r="G14" i="2"/>
  <c r="G10" i="2"/>
  <c r="G32" i="2"/>
  <c r="I32" i="2"/>
  <c r="L32" i="2"/>
  <c r="M32" i="2"/>
  <c r="N32" i="2"/>
  <c r="O32" i="2"/>
  <c r="P32" i="2"/>
  <c r="E32" i="2"/>
  <c r="F21" i="2"/>
  <c r="F18" i="2"/>
  <c r="E25" i="2"/>
  <c r="F31" i="2"/>
  <c r="F32" i="2" s="1"/>
  <c r="F45" i="2"/>
  <c r="C43" i="1"/>
  <c r="O47" i="4"/>
  <c r="O46" i="4"/>
  <c r="B43" i="4"/>
  <c r="B38" i="4"/>
  <c r="B48" i="4"/>
  <c r="D50" i="4"/>
  <c r="E50" i="4"/>
  <c r="F50" i="4"/>
  <c r="G50" i="4"/>
  <c r="H50" i="4"/>
  <c r="I50" i="4"/>
  <c r="J50" i="4"/>
  <c r="K50" i="4"/>
  <c r="L50" i="4"/>
  <c r="M50" i="4"/>
  <c r="N50" i="4"/>
  <c r="D43" i="4"/>
  <c r="E43" i="4"/>
  <c r="F43" i="4"/>
  <c r="G43" i="4"/>
  <c r="H43" i="4"/>
  <c r="I43" i="4"/>
  <c r="J43" i="4"/>
  <c r="K43" i="4"/>
  <c r="L43" i="4"/>
  <c r="M43" i="4"/>
  <c r="N43" i="4"/>
  <c r="D38" i="4"/>
  <c r="E38" i="4"/>
  <c r="F38" i="4"/>
  <c r="G38" i="4"/>
  <c r="H38" i="4"/>
  <c r="I38" i="4"/>
  <c r="J38" i="4"/>
  <c r="K38" i="4"/>
  <c r="L38" i="4"/>
  <c r="M38" i="4"/>
  <c r="N38" i="4"/>
  <c r="C50" i="4"/>
  <c r="D48" i="4"/>
  <c r="E48" i="4"/>
  <c r="F48" i="4"/>
  <c r="G48" i="4"/>
  <c r="H48" i="4"/>
  <c r="I48" i="4"/>
  <c r="J48" i="4"/>
  <c r="K48" i="4"/>
  <c r="L48" i="4"/>
  <c r="M48" i="4"/>
  <c r="N48" i="4"/>
  <c r="C48" i="4"/>
  <c r="C43" i="4"/>
  <c r="O41" i="4"/>
  <c r="O19" i="4"/>
  <c r="C26" i="4"/>
  <c r="D26" i="4"/>
  <c r="E26" i="4"/>
  <c r="F26" i="4"/>
  <c r="G26" i="4"/>
  <c r="H26" i="4"/>
  <c r="I26" i="4"/>
  <c r="J26" i="4"/>
  <c r="K26" i="4"/>
  <c r="L26" i="4"/>
  <c r="M26" i="4"/>
  <c r="N26" i="4"/>
  <c r="O7" i="4"/>
  <c r="O8" i="4"/>
  <c r="O9" i="4"/>
  <c r="O10" i="4"/>
  <c r="O11" i="4"/>
  <c r="O12" i="4"/>
  <c r="O13" i="4"/>
  <c r="O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6" i="4"/>
  <c r="O17" i="4"/>
  <c r="O18" i="4"/>
  <c r="O20" i="4"/>
  <c r="O21" i="4"/>
  <c r="O22" i="4"/>
  <c r="O23" i="4"/>
  <c r="O24" i="4"/>
  <c r="O25" i="4"/>
  <c r="B26" i="4"/>
  <c r="O29" i="4"/>
  <c r="O30" i="4"/>
  <c r="O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5" i="4"/>
  <c r="O38" i="4" s="1"/>
  <c r="O36" i="4"/>
  <c r="O37" i="4"/>
  <c r="C38" i="4"/>
  <c r="O40" i="4"/>
  <c r="K32" i="2" l="1"/>
  <c r="H32" i="2"/>
  <c r="B50" i="4"/>
  <c r="O48" i="4"/>
  <c r="O32" i="4"/>
  <c r="O15" i="4"/>
  <c r="O26" i="4"/>
  <c r="O43" i="4" l="1"/>
  <c r="O50" i="4" s="1"/>
  <c r="Q20" i="2"/>
  <c r="Q18" i="2"/>
  <c r="R18" i="2" s="1"/>
  <c r="Q45" i="2"/>
  <c r="R45" i="2" s="1"/>
  <c r="Q41" i="2"/>
  <c r="R41" i="2" s="1"/>
  <c r="Q40" i="2"/>
  <c r="R40" i="2" s="1"/>
  <c r="Q37" i="2"/>
  <c r="R37" i="2" s="1"/>
  <c r="Q36" i="2"/>
  <c r="R36" i="2" s="1"/>
  <c r="Q35" i="2"/>
  <c r="R35" i="2" s="1"/>
  <c r="Q31" i="2"/>
  <c r="R31" i="2" s="1"/>
  <c r="Q30" i="2"/>
  <c r="R30" i="2" s="1"/>
  <c r="Q29" i="2"/>
  <c r="Q25" i="2"/>
  <c r="R25" i="2" s="1"/>
  <c r="Q24" i="2"/>
  <c r="R24" i="2" s="1"/>
  <c r="Q23" i="2"/>
  <c r="R23" i="2" s="1"/>
  <c r="Q22" i="2"/>
  <c r="R22" i="2" s="1"/>
  <c r="Q21" i="2"/>
  <c r="R21" i="2" s="1"/>
  <c r="Q19" i="2"/>
  <c r="R19" i="2" s="1"/>
  <c r="Q8" i="2"/>
  <c r="R8" i="2" s="1"/>
  <c r="Q9" i="2"/>
  <c r="R9" i="2" s="1"/>
  <c r="Q10" i="2"/>
  <c r="R10" i="2" s="1"/>
  <c r="Q11" i="2"/>
  <c r="R11" i="2" s="1"/>
  <c r="Q12" i="2"/>
  <c r="R12" i="2" s="1"/>
  <c r="Q13" i="2"/>
  <c r="R13" i="2" s="1"/>
  <c r="Q14" i="2"/>
  <c r="R14" i="2" s="1"/>
  <c r="Q7" i="2"/>
  <c r="R7" i="2" s="1"/>
  <c r="P38" i="2"/>
  <c r="P15" i="2"/>
  <c r="O38" i="2"/>
  <c r="M38" i="2"/>
  <c r="L38" i="2"/>
  <c r="K38" i="2"/>
  <c r="J38" i="2"/>
  <c r="I38" i="2"/>
  <c r="H38" i="2"/>
  <c r="O26" i="2"/>
  <c r="N26" i="2"/>
  <c r="L26" i="2"/>
  <c r="K26" i="2"/>
  <c r="J26" i="2"/>
  <c r="M15" i="2"/>
  <c r="K15" i="2"/>
  <c r="J15" i="2"/>
  <c r="H15" i="2"/>
  <c r="F38" i="2"/>
  <c r="F15" i="2"/>
  <c r="N38" i="2"/>
  <c r="F26" i="2"/>
  <c r="H26" i="2"/>
  <c r="I26" i="2"/>
  <c r="M26" i="2"/>
  <c r="I15" i="2"/>
  <c r="L15" i="2"/>
  <c r="N15" i="2"/>
  <c r="O15" i="2"/>
  <c r="R20" i="2" l="1"/>
  <c r="R29" i="2"/>
  <c r="I43" i="2"/>
  <c r="I47" i="2" s="1"/>
  <c r="N43" i="2"/>
  <c r="N47" i="2" s="1"/>
  <c r="O43" i="2"/>
  <c r="O47" i="2" s="1"/>
  <c r="H43" i="2"/>
  <c r="H47" i="2" s="1"/>
  <c r="L43" i="2"/>
  <c r="L47" i="2" s="1"/>
  <c r="F43" i="2"/>
  <c r="F47" i="2" s="1"/>
  <c r="J43" i="2"/>
  <c r="J47" i="2" s="1"/>
  <c r="K43" i="2"/>
  <c r="K47" i="2" s="1"/>
  <c r="M43" i="2"/>
  <c r="P26" i="2"/>
  <c r="G38" i="2"/>
  <c r="G26" i="2"/>
  <c r="G15" i="2"/>
  <c r="Q38" i="2"/>
  <c r="E38" i="2"/>
  <c r="C38" i="2"/>
  <c r="Q32" i="2"/>
  <c r="C32" i="2"/>
  <c r="Q26" i="2"/>
  <c r="E26" i="2"/>
  <c r="C26" i="2"/>
  <c r="E15" i="2"/>
  <c r="C15" i="2"/>
  <c r="T49" i="1"/>
  <c r="T47" i="1"/>
  <c r="T46" i="1"/>
  <c r="T41" i="1"/>
  <c r="T40" i="1"/>
  <c r="T37" i="1"/>
  <c r="T36" i="1"/>
  <c r="T35" i="1"/>
  <c r="T31" i="1"/>
  <c r="T30" i="1"/>
  <c r="T29" i="1"/>
  <c r="T25" i="1"/>
  <c r="T24" i="1"/>
  <c r="T23" i="1"/>
  <c r="T22" i="1"/>
  <c r="T21" i="1"/>
  <c r="T20" i="1"/>
  <c r="T18" i="1"/>
  <c r="S8" i="1"/>
  <c r="T8" i="1" s="1"/>
  <c r="S9" i="1"/>
  <c r="S10" i="1"/>
  <c r="T10" i="1" s="1"/>
  <c r="S11" i="1"/>
  <c r="S12" i="1"/>
  <c r="T12" i="1" s="1"/>
  <c r="S14" i="1"/>
  <c r="T14" i="1" s="1"/>
  <c r="S7" i="1"/>
  <c r="T7" i="1" s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G15" i="1"/>
  <c r="I15" i="1"/>
  <c r="J15" i="1"/>
  <c r="K15" i="1"/>
  <c r="L15" i="1"/>
  <c r="M15" i="1"/>
  <c r="N15" i="1"/>
  <c r="N43" i="1" s="1"/>
  <c r="N50" i="1" s="1"/>
  <c r="O15" i="1"/>
  <c r="P15" i="1"/>
  <c r="Q15" i="1"/>
  <c r="R15" i="1"/>
  <c r="F15" i="1"/>
  <c r="D48" i="1"/>
  <c r="C48" i="1"/>
  <c r="C38" i="1"/>
  <c r="D38" i="1"/>
  <c r="D32" i="1"/>
  <c r="C32" i="1"/>
  <c r="D26" i="1"/>
  <c r="C26" i="1"/>
  <c r="D15" i="1"/>
  <c r="C15" i="1"/>
  <c r="F43" i="1" l="1"/>
  <c r="F50" i="1" s="1"/>
  <c r="M47" i="2"/>
  <c r="E43" i="2"/>
  <c r="G43" i="2"/>
  <c r="G47" i="2" s="1"/>
  <c r="P43" i="2"/>
  <c r="P47" i="2" s="1"/>
  <c r="R32" i="2"/>
  <c r="R38" i="2"/>
  <c r="R26" i="2"/>
  <c r="C43" i="2"/>
  <c r="Q15" i="2"/>
  <c r="Q43" i="2" s="1"/>
  <c r="T32" i="1"/>
  <c r="T26" i="1"/>
  <c r="D43" i="1"/>
  <c r="D50" i="1" s="1"/>
  <c r="O43" i="1"/>
  <c r="O50" i="1" s="1"/>
  <c r="G43" i="1"/>
  <c r="G50" i="1" s="1"/>
  <c r="T48" i="1"/>
  <c r="M43" i="1"/>
  <c r="M50" i="1" s="1"/>
  <c r="T38" i="1"/>
  <c r="C50" i="1"/>
  <c r="R43" i="1"/>
  <c r="R50" i="1" s="1"/>
  <c r="Q43" i="1"/>
  <c r="Q50" i="1" s="1"/>
  <c r="I50" i="1"/>
  <c r="J43" i="1"/>
  <c r="J50" i="1" s="1"/>
  <c r="P43" i="1"/>
  <c r="P50" i="1" s="1"/>
  <c r="H43" i="1"/>
  <c r="H50" i="1" s="1"/>
  <c r="E50" i="1"/>
  <c r="L43" i="1"/>
  <c r="L50" i="1" s="1"/>
  <c r="K43" i="1"/>
  <c r="K50" i="1" s="1"/>
  <c r="S15" i="1"/>
  <c r="S43" i="1" s="1"/>
  <c r="S50" i="1" s="1"/>
  <c r="E47" i="2" l="1"/>
  <c r="R15" i="2"/>
  <c r="Q47" i="2"/>
  <c r="R43" i="2"/>
  <c r="C47" i="2"/>
  <c r="T15" i="1"/>
  <c r="T50" i="1"/>
  <c r="T43" i="1"/>
  <c r="R47" i="2" l="1"/>
</calcChain>
</file>

<file path=xl/sharedStrings.xml><?xml version="1.0" encoding="utf-8"?>
<sst xmlns="http://schemas.openxmlformats.org/spreadsheetml/2006/main" count="202" uniqueCount="64">
  <si>
    <t/>
  </si>
  <si>
    <t>Faktisk 2023</t>
  </si>
  <si>
    <t>Driftsinntekter og driftskostnader</t>
  </si>
  <si>
    <t>Medlemskontingenter</t>
  </si>
  <si>
    <t>Sponsorinntekter</t>
  </si>
  <si>
    <t>Offentlig støtte</t>
  </si>
  <si>
    <t>Drivingrange</t>
  </si>
  <si>
    <t>Greenfee</t>
  </si>
  <si>
    <t>Proshop-inntekter</t>
  </si>
  <si>
    <t>Øvrige inntekter</t>
  </si>
  <si>
    <t>Sum driftsinntekter</t>
  </si>
  <si>
    <t>Klubbdrift:</t>
  </si>
  <si>
    <t>Proshop-kostnader</t>
  </si>
  <si>
    <t>Lønnskostnader klubb</t>
  </si>
  <si>
    <t>Strøm/renhold/andre adm.kostn</t>
  </si>
  <si>
    <t>Baneleie</t>
  </si>
  <si>
    <t>Medlemskont. NGF, Norsk Golf</t>
  </si>
  <si>
    <t>Reklame og markedsføring</t>
  </si>
  <si>
    <t>Andre kostnader</t>
  </si>
  <si>
    <t>Sum kostnader klubbdrift</t>
  </si>
  <si>
    <t>Banedrift:</t>
  </si>
  <si>
    <t>Lønnskostnader bane</t>
  </si>
  <si>
    <t>Banedrift, gjødsel, diverse</t>
  </si>
  <si>
    <t>Leie og vedlikehold av maskiner</t>
  </si>
  <si>
    <t>Sum kostnader banedrift</t>
  </si>
  <si>
    <t>Kafédrift:</t>
  </si>
  <si>
    <t>Kaféinntekter</t>
  </si>
  <si>
    <t>Kafékostnad</t>
  </si>
  <si>
    <t>Lønnskostnader kafé</t>
  </si>
  <si>
    <t>Resultat kafédrift</t>
  </si>
  <si>
    <t>Ordinære avskrivninger</t>
  </si>
  <si>
    <t>Tap på krav</t>
  </si>
  <si>
    <t>Driftsresultat</t>
  </si>
  <si>
    <t>Finansinntekter og finanskostnader</t>
  </si>
  <si>
    <t>Annen finansinntekt</t>
  </si>
  <si>
    <t>Annen finanskostnad</t>
  </si>
  <si>
    <t>Resultat av finansposter</t>
  </si>
  <si>
    <t>Resultat</t>
  </si>
  <si>
    <t>Budsjett 2024</t>
  </si>
  <si>
    <t>Fordelt pr måned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</si>
  <si>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</si>
  <si>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</si>
  <si>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</si>
  <si>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</si>
  <si>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</si>
  <si>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</si>
  <si>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</si>
  <si>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</si>
  <si>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</si>
  <si>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</si>
  <si>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</si>
  <si>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</si>
  <si>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SUM</t>
  </si>
  <si>
    <t>Kontroll (skal være =0)</t>
  </si>
  <si>
    <t>Totalt for året</t>
  </si>
  <si>
    <t>Sport</t>
  </si>
  <si>
    <t>Årlig</t>
  </si>
  <si>
    <t>Kafé-inntekter</t>
  </si>
  <si>
    <t>Lønnskostnader</t>
  </si>
  <si>
    <t>Kafekostnad</t>
  </si>
  <si>
    <t>Årsresultat</t>
  </si>
  <si>
    <t>Budsjett 2024 pr mnd</t>
  </si>
  <si>
    <t>Faktisk 2024</t>
  </si>
  <si>
    <t>Budsjett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</si>
</sst>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name val="Calibri"/>
      <charset val="1"/>
    </font>
    <font>
      <sz val="11"/>
      <color theme="1"/>
      <name val="Aptos Narrow"/>
      <family val="2"/>
      <scheme val="minor"/>
    </font>
    <font>
      <b/>
      <sz val="11"/>
      <color rgb="FF808080"/>
      <name val="Calibri"/>
      <family val="2"/>
    </font>
    <font>
      <b/>
      <sz val="11"/>
      <name val="Calibri"/>
      <family val="2"/>
    </font>
    <font>
      <sz val="11"/>
      <color rgb="FFC0C0C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11"/>
      <color rgb="FF808080"/>
      <name val="Calibri"/>
      <family val="2"/>
    </font>
    <font>
      <sz val="11"/>
      <color rgb="FFC0C0C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164" fontId="7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3" fillId="2" borderId="0" xfId="0" applyFont="1" applyFill="1"/>
    <xf numFmtId="49" fontId="3" fillId="2" borderId="0" xfId="0" applyNumberFormat="1" applyFont="1" applyFill="1"/>
    <xf numFmtId="49" fontId="0" fillId="0" borderId="0" xfId="0" applyNumberFormat="1"/>
    <xf numFmtId="0" fontId="4" fillId="0" borderId="0" xfId="0" applyFont="1"/>
    <xf numFmtId="49" fontId="6" fillId="0" borderId="0" xfId="0" applyNumberFormat="1" applyFont="1"/>
    <xf numFmtId="165" fontId="0" fillId="0" borderId="0" xfId="1" applyNumberFormat="1" applyFont="1"/>
    <xf numFmtId="49" fontId="6" fillId="0" borderId="1" xfId="0" applyNumberFormat="1" applyFont="1" applyBorder="1"/>
    <xf numFmtId="165" fontId="6" fillId="0" borderId="1" xfId="1" applyNumberFormat="1" applyFont="1" applyBorder="1"/>
    <xf numFmtId="49" fontId="6" fillId="0" borderId="2" xfId="0" applyNumberFormat="1" applyFont="1" applyBorder="1"/>
    <xf numFmtId="165" fontId="6" fillId="0" borderId="2" xfId="1" applyNumberFormat="1" applyFont="1" applyBorder="1"/>
    <xf numFmtId="0" fontId="0" fillId="0" borderId="0" xfId="0" applyAlignment="1">
      <alignment horizontal="center"/>
    </xf>
    <xf numFmtId="165" fontId="0" fillId="0" borderId="0" xfId="0" applyNumberFormat="1"/>
    <xf numFmtId="49" fontId="3" fillId="2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49" fontId="3" fillId="2" borderId="6" xfId="0" applyNumberFormat="1" applyFont="1" applyFill="1" applyBorder="1"/>
    <xf numFmtId="49" fontId="3" fillId="2" borderId="7" xfId="0" applyNumberFormat="1" applyFont="1" applyFill="1" applyBorder="1"/>
    <xf numFmtId="49" fontId="3" fillId="2" borderId="8" xfId="0" applyNumberFormat="1" applyFont="1" applyFill="1" applyBorder="1"/>
    <xf numFmtId="0" fontId="10" fillId="0" borderId="0" xfId="2" applyFont="1"/>
    <xf numFmtId="165" fontId="10" fillId="0" borderId="0" xfId="3" applyNumberFormat="1" applyFont="1"/>
    <xf numFmtId="0" fontId="5" fillId="0" borderId="0" xfId="2"/>
    <xf numFmtId="165" fontId="0" fillId="0" borderId="0" xfId="3" applyNumberFormat="1" applyFont="1"/>
    <xf numFmtId="0" fontId="6" fillId="0" borderId="0" xfId="2" applyFont="1" applyAlignment="1">
      <alignment horizontal="center"/>
    </xf>
    <xf numFmtId="0" fontId="6" fillId="2" borderId="0" xfId="2" applyFont="1" applyFill="1"/>
    <xf numFmtId="165" fontId="6" fillId="2" borderId="0" xfId="3" applyNumberFormat="1" applyFont="1" applyFill="1"/>
    <xf numFmtId="49" fontId="6" fillId="0" borderId="0" xfId="2" applyNumberFormat="1" applyFont="1"/>
    <xf numFmtId="49" fontId="5" fillId="0" borderId="0" xfId="2" applyNumberFormat="1"/>
    <xf numFmtId="49" fontId="7" fillId="0" borderId="0" xfId="2" applyNumberFormat="1" applyFont="1"/>
    <xf numFmtId="49" fontId="6" fillId="0" borderId="1" xfId="2" applyNumberFormat="1" applyFont="1" applyBorder="1"/>
    <xf numFmtId="165" fontId="6" fillId="0" borderId="1" xfId="3" applyNumberFormat="1" applyFont="1" applyBorder="1"/>
    <xf numFmtId="165" fontId="6" fillId="0" borderId="0" xfId="3" applyNumberFormat="1" applyFont="1" applyBorder="1"/>
    <xf numFmtId="49" fontId="5" fillId="0" borderId="1" xfId="2" applyNumberFormat="1" applyBorder="1"/>
    <xf numFmtId="165" fontId="0" fillId="0" borderId="1" xfId="3" applyNumberFormat="1" applyFont="1" applyBorder="1"/>
    <xf numFmtId="0" fontId="11" fillId="0" borderId="0" xfId="2" applyFont="1"/>
    <xf numFmtId="165" fontId="11" fillId="0" borderId="0" xfId="3" applyNumberFormat="1" applyFont="1"/>
    <xf numFmtId="49" fontId="6" fillId="0" borderId="1" xfId="4" applyNumberFormat="1" applyFont="1" applyBorder="1"/>
    <xf numFmtId="165" fontId="0" fillId="0" borderId="0" xfId="1" applyNumberFormat="1" applyFont="1" applyAlignment="1">
      <alignment horizontal="center"/>
    </xf>
    <xf numFmtId="9" fontId="0" fillId="0" borderId="0" xfId="0" applyNumberFormat="1"/>
    <xf numFmtId="0" fontId="5" fillId="0" borderId="0" xfId="0" applyFont="1"/>
    <xf numFmtId="9" fontId="5" fillId="0" borderId="0" xfId="0" applyNumberFormat="1" applyFont="1"/>
    <xf numFmtId="0" fontId="12" fillId="0" borderId="0" xfId="0" applyFont="1"/>
    <xf numFmtId="49" fontId="12" fillId="0" borderId="0" xfId="0" applyNumberFormat="1" applyFont="1"/>
    <xf numFmtId="0" fontId="13" fillId="0" borderId="0" xfId="0" applyFont="1"/>
    <xf numFmtId="0" fontId="12" fillId="2" borderId="0" xfId="0" applyFont="1" applyFill="1"/>
    <xf numFmtId="49" fontId="12" fillId="2" borderId="0" xfId="0" applyNumberFormat="1" applyFont="1" applyFill="1"/>
    <xf numFmtId="49" fontId="12" fillId="2" borderId="6" xfId="0" applyNumberFormat="1" applyFont="1" applyFill="1" applyBorder="1"/>
    <xf numFmtId="49" fontId="12" fillId="2" borderId="7" xfId="0" applyNumberFormat="1" applyFont="1" applyFill="1" applyBorder="1"/>
    <xf numFmtId="49" fontId="12" fillId="2" borderId="8" xfId="0" applyNumberFormat="1" applyFont="1" applyFill="1" applyBorder="1"/>
    <xf numFmtId="49" fontId="13" fillId="0" borderId="0" xfId="0" applyNumberFormat="1" applyFont="1"/>
    <xf numFmtId="165" fontId="13" fillId="0" borderId="0" xfId="1" applyNumberFormat="1" applyFont="1"/>
    <xf numFmtId="3" fontId="13" fillId="0" borderId="0" xfId="0" applyNumberFormat="1" applyFont="1"/>
    <xf numFmtId="49" fontId="12" fillId="0" borderId="1" xfId="0" applyNumberFormat="1" applyFont="1" applyBorder="1"/>
    <xf numFmtId="165" fontId="12" fillId="0" borderId="1" xfId="1" applyNumberFormat="1" applyFont="1" applyBorder="1"/>
    <xf numFmtId="9" fontId="13" fillId="0" borderId="0" xfId="0" applyNumberFormat="1" applyFont="1"/>
    <xf numFmtId="165" fontId="12" fillId="0" borderId="2" xfId="1" applyNumberFormat="1" applyFont="1" applyBorder="1"/>
    <xf numFmtId="49" fontId="12" fillId="0" borderId="2" xfId="0" applyNumberFormat="1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2" applyFont="1" applyAlignment="1">
      <alignment horizontal="center"/>
    </xf>
  </cellXfs>
  <cellStyles count="5">
    <cellStyle name="Komma" xfId="1" builtinId="3"/>
    <cellStyle name="Komma 2" xfId="3" xr:uid="{CE0ABA9A-8409-4142-8DA3-6CF63807ED4C}"/>
    <cellStyle name="Normal" xfId="0" builtinId="0"/>
    <cellStyle name="Normal 2" xfId="2" xr:uid="{30F47549-47ED-49C2-847C-D3F83C4C6E55}"/>
    <cellStyle name="Normal 3" xfId="4" xr:uid="{F15F82AD-54C7-4810-B8E9-E0D86AE97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4"/>
  <sheetViews>
    <sheetView tabSelected="1" zoomScale="150" zoomScaleNormal="150" workbookViewId="0">
      <pane xSplit="2" ySplit="3" topLeftCell="C19" activePane="bottomRight" state="frozen"/>
      <selection pane="topRight"/>
      <selection pane="bottomLeft"/>
      <selection pane="bottomRight" activeCell="H40" sqref="H40"/>
    </sheetView>
  </sheetViews>
  <sheetFormatPr baseColWidth="10" defaultColWidth="12.1640625" defaultRowHeight="15" customHeight="1" x14ac:dyDescent="0.2"/>
  <cols>
    <col min="1" max="1" width="3.6640625" customWidth="1"/>
    <col min="2" max="2" width="32.83203125" bestFit="1" customWidth="1"/>
    <col min="3" max="3" width="12.83203125" bestFit="1" customWidth="1"/>
    <col min="4" max="4" width="13" bestFit="1" customWidth="1"/>
    <col min="5" max="5" width="13.83203125" bestFit="1" customWidth="1"/>
    <col min="6" max="6" width="14.5" bestFit="1" customWidth="1"/>
    <col min="20" max="20" width="21" style="12" bestFit="1" customWidth="1"/>
  </cols>
  <sheetData>
    <row r="1" spans="2:21" ht="9.75" customHeight="1" thickBot="1" x14ac:dyDescent="0.25">
      <c r="B1" s="41" t="s">
        <v>0</v>
      </c>
      <c r="C1" s="41" t="s">
        <v>0</v>
      </c>
      <c r="D1" s="42"/>
      <c r="E1" s="41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2:21" x14ac:dyDescent="0.2">
      <c r="B2" s="41" t="s">
        <v>0</v>
      </c>
      <c r="C2" s="41" t="s">
        <v>0</v>
      </c>
      <c r="D2" s="42"/>
      <c r="E2" s="41"/>
      <c r="F2" s="43" t="s">
        <v>54</v>
      </c>
      <c r="G2" s="57" t="s">
        <v>39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</row>
    <row r="3" spans="2:21" ht="16" thickBot="1" x14ac:dyDescent="0.25">
      <c r="B3" s="44" t="s">
        <v>0</v>
      </c>
      <c r="C3" s="45" t="s">
        <v>1</v>
      </c>
      <c r="D3" s="45" t="s">
        <v>38</v>
      </c>
      <c r="E3" s="45" t="s">
        <v>62</v>
      </c>
      <c r="F3" s="45" t="s">
        <v>63</v>
      </c>
      <c r="G3" s="46" t="s">
        <v>40</v>
      </c>
      <c r="H3" s="47" t="s">
        <v>41</v>
      </c>
      <c r="I3" s="47" t="s">
        <v>42</v>
      </c>
      <c r="J3" s="47" t="s">
        <v>43</v>
      </c>
      <c r="K3" s="47" t="s">
        <v>44</v>
      </c>
      <c r="L3" s="47" t="s">
        <v>45</v>
      </c>
      <c r="M3" s="47" t="s">
        <v>46</v>
      </c>
      <c r="N3" s="47" t="s">
        <v>47</v>
      </c>
      <c r="O3" s="47" t="s">
        <v>48</v>
      </c>
      <c r="P3" s="47" t="s">
        <v>49</v>
      </c>
      <c r="Q3" s="47" t="s">
        <v>50</v>
      </c>
      <c r="R3" s="48" t="s">
        <v>51</v>
      </c>
      <c r="S3" s="3" t="s">
        <v>52</v>
      </c>
      <c r="T3" s="14" t="s">
        <v>53</v>
      </c>
    </row>
    <row r="4" spans="2:21" x14ac:dyDescent="0.2"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2:21" x14ac:dyDescent="0.2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2:21" x14ac:dyDescent="0.2">
      <c r="B6" s="43" t="s">
        <v>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2:21" x14ac:dyDescent="0.2">
      <c r="B7" s="49" t="s">
        <v>3</v>
      </c>
      <c r="C7" s="50">
        <v>4498486</v>
      </c>
      <c r="D7" s="50">
        <v>4600000</v>
      </c>
      <c r="E7" s="50">
        <v>4779996</v>
      </c>
      <c r="F7" s="51">
        <v>4900000</v>
      </c>
      <c r="G7" s="50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13">
        <f>SUM(G7:R7)</f>
        <v>0</v>
      </c>
      <c r="T7" s="15">
        <f>F7-S7</f>
        <v>4900000</v>
      </c>
      <c r="U7" s="40"/>
    </row>
    <row r="8" spans="2:21" x14ac:dyDescent="0.2">
      <c r="B8" s="49" t="s">
        <v>4</v>
      </c>
      <c r="C8" s="50">
        <v>832703</v>
      </c>
      <c r="D8" s="50">
        <v>1000000</v>
      </c>
      <c r="E8" s="50">
        <v>1353940</v>
      </c>
      <c r="F8" s="51">
        <v>1000000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13">
        <f t="shared" ref="S8:S14" si="0">SUM(G8:R8)</f>
        <v>0</v>
      </c>
      <c r="T8" s="15">
        <f t="shared" ref="T8:T15" si="1">F8-S8</f>
        <v>1000000</v>
      </c>
      <c r="U8" s="39"/>
    </row>
    <row r="9" spans="2:21" x14ac:dyDescent="0.2">
      <c r="B9" s="49" t="s">
        <v>5</v>
      </c>
      <c r="C9" s="50">
        <v>1066880</v>
      </c>
      <c r="D9" s="50">
        <v>1100000</v>
      </c>
      <c r="E9" s="50">
        <v>1193464</v>
      </c>
      <c r="F9" s="51">
        <v>1100000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13">
        <f t="shared" si="0"/>
        <v>0</v>
      </c>
      <c r="T9" s="15">
        <v>900000</v>
      </c>
      <c r="U9" s="39"/>
    </row>
    <row r="10" spans="2:21" x14ac:dyDescent="0.2">
      <c r="B10" s="49" t="s">
        <v>6</v>
      </c>
      <c r="C10" s="50">
        <v>630777</v>
      </c>
      <c r="D10" s="50">
        <v>850000</v>
      </c>
      <c r="E10" s="50">
        <v>973035</v>
      </c>
      <c r="F10" s="51">
        <v>950000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13">
        <f t="shared" si="0"/>
        <v>0</v>
      </c>
      <c r="T10" s="15">
        <f t="shared" si="1"/>
        <v>950000</v>
      </c>
      <c r="U10" s="39"/>
    </row>
    <row r="11" spans="2:21" x14ac:dyDescent="0.2">
      <c r="B11" s="49" t="s">
        <v>7</v>
      </c>
      <c r="C11" s="50">
        <v>1763578</v>
      </c>
      <c r="D11" s="50">
        <v>1850000</v>
      </c>
      <c r="E11" s="50">
        <v>1771447</v>
      </c>
      <c r="F11" s="50">
        <v>1750000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13">
        <f t="shared" si="0"/>
        <v>0</v>
      </c>
      <c r="T11" s="15">
        <v>1750000</v>
      </c>
      <c r="U11" s="39"/>
    </row>
    <row r="12" spans="2:21" x14ac:dyDescent="0.2">
      <c r="B12" s="49" t="s">
        <v>8</v>
      </c>
      <c r="C12" s="50">
        <v>3028099</v>
      </c>
      <c r="D12" s="50">
        <v>3900000</v>
      </c>
      <c r="E12" s="50">
        <v>3287223</v>
      </c>
      <c r="F12" s="51">
        <v>3500000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13">
        <f t="shared" si="0"/>
        <v>0</v>
      </c>
      <c r="T12" s="15">
        <f t="shared" si="1"/>
        <v>3500000</v>
      </c>
      <c r="U12" s="39"/>
    </row>
    <row r="13" spans="2:21" x14ac:dyDescent="0.2">
      <c r="B13" s="49" t="s">
        <v>55</v>
      </c>
      <c r="C13" s="50">
        <v>212280</v>
      </c>
      <c r="D13" s="50">
        <v>230000</v>
      </c>
      <c r="E13" s="50">
        <v>682695</v>
      </c>
      <c r="F13" s="51">
        <v>400000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13"/>
      <c r="T13" s="15">
        <v>500000</v>
      </c>
    </row>
    <row r="14" spans="2:21" x14ac:dyDescent="0.2">
      <c r="B14" s="49" t="s">
        <v>9</v>
      </c>
      <c r="C14" s="50">
        <v>374074</v>
      </c>
      <c r="D14" s="50">
        <v>470000</v>
      </c>
      <c r="E14" s="50">
        <v>158066</v>
      </c>
      <c r="F14" s="51">
        <v>900000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13">
        <f t="shared" si="0"/>
        <v>0</v>
      </c>
      <c r="T14" s="15">
        <f t="shared" si="1"/>
        <v>900000</v>
      </c>
      <c r="U14" s="39"/>
    </row>
    <row r="15" spans="2:21" x14ac:dyDescent="0.2">
      <c r="B15" s="52" t="s">
        <v>10</v>
      </c>
      <c r="C15" s="53">
        <f>SUM(C7:C14)</f>
        <v>12406877</v>
      </c>
      <c r="D15" s="53">
        <f t="shared" ref="D15:F15" si="2">SUM(D7:D14)</f>
        <v>14000000</v>
      </c>
      <c r="E15" s="53">
        <f t="shared" ref="E15" si="3">SUM(E7:E14)</f>
        <v>14199866</v>
      </c>
      <c r="F15" s="53">
        <f t="shared" si="2"/>
        <v>14500000</v>
      </c>
      <c r="G15" s="53">
        <f t="shared" ref="G15" si="4">SUM(G7:G14)</f>
        <v>0</v>
      </c>
      <c r="H15" s="53"/>
      <c r="I15" s="53">
        <f t="shared" ref="I15" si="5">SUM(I7:I14)</f>
        <v>0</v>
      </c>
      <c r="J15" s="53">
        <f t="shared" ref="J15" si="6">SUM(J7:J14)</f>
        <v>0</v>
      </c>
      <c r="K15" s="53">
        <f t="shared" ref="K15" si="7">SUM(K7:K14)</f>
        <v>0</v>
      </c>
      <c r="L15" s="53">
        <f t="shared" ref="L15" si="8">SUM(L7:L14)</f>
        <v>0</v>
      </c>
      <c r="M15" s="53">
        <f t="shared" ref="M15" si="9">SUM(M7:M14)</f>
        <v>0</v>
      </c>
      <c r="N15" s="53">
        <f t="shared" ref="N15" si="10">SUM(N7:N14)</f>
        <v>0</v>
      </c>
      <c r="O15" s="53">
        <f t="shared" ref="O15" si="11">SUM(O7:O14)</f>
        <v>0</v>
      </c>
      <c r="P15" s="53">
        <f t="shared" ref="P15" si="12">SUM(P7:P14)</f>
        <v>0</v>
      </c>
      <c r="Q15" s="53">
        <f t="shared" ref="Q15" si="13">SUM(Q7:Q14)</f>
        <v>0</v>
      </c>
      <c r="R15" s="53">
        <f t="shared" ref="R15" si="14">SUM(R7:R14)</f>
        <v>0</v>
      </c>
      <c r="S15" s="9">
        <f t="shared" ref="S15" si="15">SUM(S7:S14)</f>
        <v>0</v>
      </c>
      <c r="T15" s="15">
        <f t="shared" si="1"/>
        <v>14500000</v>
      </c>
      <c r="U15" s="39"/>
    </row>
    <row r="16" spans="2:21" x14ac:dyDescent="0.2">
      <c r="B16" s="43" t="s">
        <v>0</v>
      </c>
      <c r="C16" s="50"/>
      <c r="D16" s="50"/>
      <c r="E16" s="50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spans="2:21" x14ac:dyDescent="0.2">
      <c r="B17" s="42" t="s">
        <v>11</v>
      </c>
      <c r="C17" s="50"/>
      <c r="D17" s="50"/>
      <c r="E17" s="5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2:21" x14ac:dyDescent="0.2">
      <c r="B18" s="49" t="s">
        <v>12</v>
      </c>
      <c r="C18" s="50">
        <v>2430140</v>
      </c>
      <c r="D18" s="50">
        <v>3100000</v>
      </c>
      <c r="E18" s="50">
        <v>3059263</v>
      </c>
      <c r="F18" s="51">
        <v>2650000</v>
      </c>
      <c r="G18" s="54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T18" s="15">
        <f>F18-S18</f>
        <v>2650000</v>
      </c>
      <c r="U18" s="39"/>
    </row>
    <row r="19" spans="2:21" x14ac:dyDescent="0.2">
      <c r="B19" s="49" t="s">
        <v>55</v>
      </c>
      <c r="C19" s="50">
        <v>431169</v>
      </c>
      <c r="D19" s="50">
        <v>440000</v>
      </c>
      <c r="E19" s="50">
        <v>512409</v>
      </c>
      <c r="F19" s="51">
        <v>600000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T19" s="15">
        <v>500000</v>
      </c>
      <c r="U19" s="38"/>
    </row>
    <row r="20" spans="2:21" x14ac:dyDescent="0.2">
      <c r="B20" s="49" t="s">
        <v>13</v>
      </c>
      <c r="C20" s="50">
        <v>1797685</v>
      </c>
      <c r="D20" s="50">
        <v>2100000</v>
      </c>
      <c r="E20" s="50">
        <v>2420757</v>
      </c>
      <c r="F20" s="51">
        <v>2650000</v>
      </c>
      <c r="G20" s="54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T20" s="15">
        <f t="shared" ref="T20:T26" si="16">F20-S20</f>
        <v>2650000</v>
      </c>
      <c r="U20" s="39"/>
    </row>
    <row r="21" spans="2:21" x14ac:dyDescent="0.2">
      <c r="B21" s="49" t="s">
        <v>14</v>
      </c>
      <c r="C21" s="50">
        <v>667416</v>
      </c>
      <c r="D21" s="50">
        <v>700000</v>
      </c>
      <c r="E21" s="50">
        <v>1080011</v>
      </c>
      <c r="F21" s="51">
        <v>1000000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T21" s="15">
        <f t="shared" si="16"/>
        <v>1000000</v>
      </c>
    </row>
    <row r="22" spans="2:21" x14ac:dyDescent="0.2">
      <c r="B22" s="49" t="s">
        <v>15</v>
      </c>
      <c r="C22" s="50">
        <v>132807</v>
      </c>
      <c r="D22" s="50">
        <v>140000</v>
      </c>
      <c r="E22" s="50">
        <v>153493</v>
      </c>
      <c r="F22" s="51">
        <v>150000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T22" s="15">
        <f t="shared" si="16"/>
        <v>150000</v>
      </c>
    </row>
    <row r="23" spans="2:21" x14ac:dyDescent="0.2">
      <c r="B23" s="49" t="s">
        <v>16</v>
      </c>
      <c r="C23" s="50">
        <v>366052</v>
      </c>
      <c r="D23" s="50">
        <v>400000</v>
      </c>
      <c r="E23" s="50">
        <v>450161</v>
      </c>
      <c r="F23" s="51">
        <v>450000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T23" s="15">
        <f t="shared" si="16"/>
        <v>450000</v>
      </c>
    </row>
    <row r="24" spans="2:21" x14ac:dyDescent="0.2">
      <c r="B24" s="49" t="s">
        <v>17</v>
      </c>
      <c r="C24" s="50">
        <v>345999</v>
      </c>
      <c r="D24" s="50">
        <v>400000</v>
      </c>
      <c r="E24" s="50">
        <v>242724</v>
      </c>
      <c r="F24" s="51">
        <v>300000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T24" s="15">
        <f t="shared" si="16"/>
        <v>300000</v>
      </c>
    </row>
    <row r="25" spans="2:21" x14ac:dyDescent="0.2">
      <c r="B25" s="49" t="s">
        <v>18</v>
      </c>
      <c r="C25" s="50">
        <v>1072486</v>
      </c>
      <c r="D25" s="50">
        <v>1560000</v>
      </c>
      <c r="E25" s="50">
        <v>1247651</v>
      </c>
      <c r="F25" s="51">
        <v>1300000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T25" s="15">
        <f t="shared" si="16"/>
        <v>1300000</v>
      </c>
    </row>
    <row r="26" spans="2:21" x14ac:dyDescent="0.2">
      <c r="B26" s="52" t="s">
        <v>19</v>
      </c>
      <c r="C26" s="53">
        <f>SUM(C18:C25)</f>
        <v>7243754</v>
      </c>
      <c r="D26" s="53">
        <f t="shared" ref="D26" si="17">SUM(D18:D25)</f>
        <v>8840000</v>
      </c>
      <c r="E26" s="53">
        <f t="shared" ref="E26" si="18">SUM(E18:E25)</f>
        <v>9166469</v>
      </c>
      <c r="F26" s="53">
        <f t="shared" ref="F26" si="19">SUM(F18:F25)</f>
        <v>9100000</v>
      </c>
      <c r="G26" s="53">
        <f t="shared" ref="G26" si="20">SUM(G18:G25)</f>
        <v>0</v>
      </c>
      <c r="H26" s="53">
        <f t="shared" ref="H26" si="21">SUM(H18:H25)</f>
        <v>0</v>
      </c>
      <c r="I26" s="53">
        <f t="shared" ref="I26" si="22">SUM(I18:I25)</f>
        <v>0</v>
      </c>
      <c r="J26" s="53">
        <f t="shared" ref="J26" si="23">SUM(J18:J25)</f>
        <v>0</v>
      </c>
      <c r="K26" s="53">
        <f t="shared" ref="K26" si="24">SUM(K18:K25)</f>
        <v>0</v>
      </c>
      <c r="L26" s="53">
        <f t="shared" ref="L26" si="25">SUM(L18:L25)</f>
        <v>0</v>
      </c>
      <c r="M26" s="53">
        <f t="shared" ref="M26" si="26">SUM(M18:M25)</f>
        <v>0</v>
      </c>
      <c r="N26" s="53">
        <f t="shared" ref="N26" si="27">SUM(N18:N25)</f>
        <v>0</v>
      </c>
      <c r="O26" s="53">
        <f t="shared" ref="O26" si="28">SUM(O18:O25)</f>
        <v>0</v>
      </c>
      <c r="P26" s="53">
        <f t="shared" ref="P26" si="29">SUM(P18:P25)</f>
        <v>0</v>
      </c>
      <c r="Q26" s="53">
        <f t="shared" ref="Q26" si="30">SUM(Q18:Q25)</f>
        <v>0</v>
      </c>
      <c r="R26" s="53">
        <f t="shared" ref="R26" si="31">SUM(R18:R25)</f>
        <v>0</v>
      </c>
      <c r="S26" s="9">
        <f t="shared" ref="S26" si="32">SUM(S18:S25)</f>
        <v>0</v>
      </c>
      <c r="T26" s="15">
        <f t="shared" si="16"/>
        <v>9100000</v>
      </c>
    </row>
    <row r="27" spans="2:21" x14ac:dyDescent="0.2">
      <c r="B27" s="43" t="s">
        <v>0</v>
      </c>
      <c r="C27" s="50"/>
      <c r="D27" s="50"/>
      <c r="E27" s="5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2:21" x14ac:dyDescent="0.2">
      <c r="B28" s="42" t="s">
        <v>20</v>
      </c>
      <c r="C28" s="50"/>
      <c r="D28" s="50"/>
      <c r="E28" s="5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2:21" x14ac:dyDescent="0.2">
      <c r="B29" s="49" t="s">
        <v>21</v>
      </c>
      <c r="C29" s="50">
        <v>1745822</v>
      </c>
      <c r="D29" s="50">
        <v>2100000</v>
      </c>
      <c r="E29" s="50">
        <v>2029516</v>
      </c>
      <c r="F29" s="51">
        <v>2500000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T29" s="15">
        <f t="shared" ref="T29:T32" si="33">F29-S29</f>
        <v>2500000</v>
      </c>
      <c r="U29" s="39"/>
    </row>
    <row r="30" spans="2:21" x14ac:dyDescent="0.2">
      <c r="B30" s="49" t="s">
        <v>22</v>
      </c>
      <c r="C30" s="50">
        <v>308788</v>
      </c>
      <c r="D30" s="50">
        <v>600000</v>
      </c>
      <c r="E30" s="50">
        <v>537478</v>
      </c>
      <c r="F30" s="51">
        <v>700000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T30" s="15">
        <f t="shared" si="33"/>
        <v>700000</v>
      </c>
      <c r="U30" s="39"/>
    </row>
    <row r="31" spans="2:21" x14ac:dyDescent="0.2">
      <c r="B31" s="49" t="s">
        <v>23</v>
      </c>
      <c r="C31" s="50">
        <v>726473</v>
      </c>
      <c r="D31" s="50">
        <v>950000</v>
      </c>
      <c r="E31" s="50">
        <v>953538</v>
      </c>
      <c r="F31" s="51">
        <v>1000000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T31" s="15">
        <f t="shared" si="33"/>
        <v>1000000</v>
      </c>
      <c r="U31" s="39"/>
    </row>
    <row r="32" spans="2:21" x14ac:dyDescent="0.2">
      <c r="B32" s="52" t="s">
        <v>24</v>
      </c>
      <c r="C32" s="53">
        <f>SUM(C29:C31)</f>
        <v>2781083</v>
      </c>
      <c r="D32" s="53">
        <f t="shared" ref="D32" si="34">SUM(D29:D31)</f>
        <v>3650000</v>
      </c>
      <c r="E32" s="53">
        <f t="shared" ref="E32" si="35">SUM(E29:E31)</f>
        <v>3520532</v>
      </c>
      <c r="F32" s="53">
        <f t="shared" ref="F32" si="36">SUM(F29:F31)</f>
        <v>4200000</v>
      </c>
      <c r="G32" s="53">
        <f t="shared" ref="G32" si="37">SUM(G29:G31)</f>
        <v>0</v>
      </c>
      <c r="H32" s="53">
        <f t="shared" ref="H32" si="38">SUM(H29:H31)</f>
        <v>0</v>
      </c>
      <c r="I32" s="53">
        <f t="shared" ref="I32" si="39">SUM(I29:I31)</f>
        <v>0</v>
      </c>
      <c r="J32" s="53">
        <f t="shared" ref="J32" si="40">SUM(J29:J31)</f>
        <v>0</v>
      </c>
      <c r="K32" s="53">
        <f t="shared" ref="K32" si="41">SUM(K29:K31)</f>
        <v>0</v>
      </c>
      <c r="L32" s="53">
        <f t="shared" ref="L32" si="42">SUM(L29:L31)</f>
        <v>0</v>
      </c>
      <c r="M32" s="53">
        <f t="shared" ref="M32" si="43">SUM(M29:M31)</f>
        <v>0</v>
      </c>
      <c r="N32" s="53">
        <f t="shared" ref="N32" si="44">SUM(N29:N31)</f>
        <v>0</v>
      </c>
      <c r="O32" s="53">
        <f t="shared" ref="O32" si="45">SUM(O29:O31)</f>
        <v>0</v>
      </c>
      <c r="P32" s="53">
        <f t="shared" ref="P32" si="46">SUM(P29:P31)</f>
        <v>0</v>
      </c>
      <c r="Q32" s="53">
        <f t="shared" ref="Q32" si="47">SUM(Q29:Q31)</f>
        <v>0</v>
      </c>
      <c r="R32" s="53">
        <f t="shared" ref="R32" si="48">SUM(R29:R31)</f>
        <v>0</v>
      </c>
      <c r="S32" s="9">
        <f t="shared" ref="S32" si="49">SUM(S29:S31)</f>
        <v>0</v>
      </c>
      <c r="T32" s="15">
        <f t="shared" si="33"/>
        <v>4200000</v>
      </c>
    </row>
    <row r="33" spans="2:20" x14ac:dyDescent="0.2">
      <c r="B33" s="43" t="s">
        <v>0</v>
      </c>
      <c r="C33" s="50"/>
      <c r="D33" s="50"/>
      <c r="E33" s="5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2:20" x14ac:dyDescent="0.2">
      <c r="B34" s="42" t="s">
        <v>25</v>
      </c>
      <c r="C34" s="50"/>
      <c r="D34" s="50"/>
      <c r="E34" s="5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2:20" x14ac:dyDescent="0.2">
      <c r="B35" s="49" t="s">
        <v>26</v>
      </c>
      <c r="C35" s="50">
        <v>978709</v>
      </c>
      <c r="D35" s="50">
        <v>1400000</v>
      </c>
      <c r="E35" s="50">
        <v>1357215</v>
      </c>
      <c r="F35" s="51">
        <v>1500000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T35" s="15">
        <f t="shared" ref="T35:T38" si="50">F35-S35</f>
        <v>1500000</v>
      </c>
    </row>
    <row r="36" spans="2:20" x14ac:dyDescent="0.2">
      <c r="B36" s="49" t="s">
        <v>27</v>
      </c>
      <c r="C36" s="50">
        <v>507037</v>
      </c>
      <c r="D36" s="50">
        <v>600000</v>
      </c>
      <c r="E36" s="50">
        <v>678333</v>
      </c>
      <c r="F36" s="51">
        <v>675000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T36" s="15">
        <f t="shared" si="50"/>
        <v>675000</v>
      </c>
    </row>
    <row r="37" spans="2:20" x14ac:dyDescent="0.2">
      <c r="B37" s="49" t="s">
        <v>28</v>
      </c>
      <c r="C37" s="50">
        <v>357291</v>
      </c>
      <c r="D37" s="50">
        <v>450000</v>
      </c>
      <c r="E37" s="50">
        <v>583788</v>
      </c>
      <c r="F37" s="51">
        <v>625000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T37" s="15">
        <f t="shared" si="50"/>
        <v>625000</v>
      </c>
    </row>
    <row r="38" spans="2:20" x14ac:dyDescent="0.2">
      <c r="B38" s="52" t="s">
        <v>29</v>
      </c>
      <c r="C38" s="53">
        <f>C35-C36-C37</f>
        <v>114381</v>
      </c>
      <c r="D38" s="53">
        <f>D35-D36-D37</f>
        <v>350000</v>
      </c>
      <c r="E38" s="53">
        <f>E35-E36-E37</f>
        <v>95094</v>
      </c>
      <c r="F38" s="53">
        <f t="shared" ref="F38:S38" si="51">F35-F36-F37</f>
        <v>200000</v>
      </c>
      <c r="G38" s="53">
        <f t="shared" si="51"/>
        <v>0</v>
      </c>
      <c r="H38" s="53">
        <f t="shared" si="51"/>
        <v>0</v>
      </c>
      <c r="I38" s="53">
        <f t="shared" si="51"/>
        <v>0</v>
      </c>
      <c r="J38" s="53">
        <f t="shared" si="51"/>
        <v>0</v>
      </c>
      <c r="K38" s="53">
        <f t="shared" si="51"/>
        <v>0</v>
      </c>
      <c r="L38" s="53">
        <f t="shared" si="51"/>
        <v>0</v>
      </c>
      <c r="M38" s="53">
        <f t="shared" si="51"/>
        <v>0</v>
      </c>
      <c r="N38" s="53">
        <f t="shared" si="51"/>
        <v>0</v>
      </c>
      <c r="O38" s="53">
        <f t="shared" si="51"/>
        <v>0</v>
      </c>
      <c r="P38" s="53">
        <f t="shared" si="51"/>
        <v>0</v>
      </c>
      <c r="Q38" s="53">
        <f t="shared" si="51"/>
        <v>0</v>
      </c>
      <c r="R38" s="53">
        <f t="shared" si="51"/>
        <v>0</v>
      </c>
      <c r="S38" s="9">
        <f t="shared" si="51"/>
        <v>0</v>
      </c>
      <c r="T38" s="15">
        <f t="shared" si="50"/>
        <v>200000</v>
      </c>
    </row>
    <row r="39" spans="2:20" x14ac:dyDescent="0.2">
      <c r="B39" s="43" t="s">
        <v>0</v>
      </c>
      <c r="C39" s="50"/>
      <c r="D39" s="50"/>
      <c r="E39" s="5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0" spans="2:20" x14ac:dyDescent="0.2">
      <c r="B40" s="49" t="s">
        <v>30</v>
      </c>
      <c r="C40" s="50">
        <v>687488</v>
      </c>
      <c r="D40" s="50">
        <v>720000</v>
      </c>
      <c r="E40" s="50">
        <v>742319</v>
      </c>
      <c r="F40" s="43">
        <v>750000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T40" s="15">
        <f t="shared" ref="T40:T41" si="52">F40-S40</f>
        <v>750000</v>
      </c>
    </row>
    <row r="41" spans="2:20" x14ac:dyDescent="0.2">
      <c r="B41" s="49" t="s">
        <v>31</v>
      </c>
      <c r="C41" s="50">
        <v>18750</v>
      </c>
      <c r="D41" s="50">
        <v>50000</v>
      </c>
      <c r="E41" s="50">
        <v>0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T41" s="15">
        <f t="shared" si="52"/>
        <v>0</v>
      </c>
    </row>
    <row r="42" spans="2:20" x14ac:dyDescent="0.2">
      <c r="B42" s="43" t="s">
        <v>0</v>
      </c>
      <c r="C42" s="50"/>
      <c r="D42" s="50"/>
      <c r="E42" s="5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2:20" x14ac:dyDescent="0.2">
      <c r="B43" s="42" t="s">
        <v>32</v>
      </c>
      <c r="C43" s="50">
        <f t="shared" ref="C43:S43" si="53">C15-C26-C32+C38-C40-C41</f>
        <v>1790183</v>
      </c>
      <c r="D43" s="50">
        <f t="shared" si="53"/>
        <v>1090000</v>
      </c>
      <c r="E43" s="50">
        <f t="shared" si="53"/>
        <v>865640</v>
      </c>
      <c r="F43" s="50">
        <f t="shared" si="53"/>
        <v>650000</v>
      </c>
      <c r="G43" s="50">
        <f t="shared" si="53"/>
        <v>0</v>
      </c>
      <c r="H43" s="50">
        <f t="shared" si="53"/>
        <v>0</v>
      </c>
      <c r="I43" s="50">
        <f>I15-I26-I32+I38-I40-I41</f>
        <v>0</v>
      </c>
      <c r="J43" s="50">
        <f t="shared" si="53"/>
        <v>0</v>
      </c>
      <c r="K43" s="50">
        <f t="shared" si="53"/>
        <v>0</v>
      </c>
      <c r="L43" s="50">
        <f t="shared" si="53"/>
        <v>0</v>
      </c>
      <c r="M43" s="50">
        <f t="shared" si="53"/>
        <v>0</v>
      </c>
      <c r="N43" s="50">
        <f t="shared" si="53"/>
        <v>0</v>
      </c>
      <c r="O43" s="50">
        <f t="shared" si="53"/>
        <v>0</v>
      </c>
      <c r="P43" s="50">
        <f t="shared" si="53"/>
        <v>0</v>
      </c>
      <c r="Q43" s="50">
        <f t="shared" si="53"/>
        <v>0</v>
      </c>
      <c r="R43" s="50">
        <f t="shared" si="53"/>
        <v>0</v>
      </c>
      <c r="S43" s="7">
        <f t="shared" si="53"/>
        <v>0</v>
      </c>
      <c r="T43" s="15">
        <f>F43-S43</f>
        <v>650000</v>
      </c>
    </row>
    <row r="44" spans="2:20" x14ac:dyDescent="0.2">
      <c r="B44" s="43" t="s">
        <v>0</v>
      </c>
      <c r="C44" s="50"/>
      <c r="D44" s="50"/>
      <c r="E44" s="5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2:20" x14ac:dyDescent="0.2">
      <c r="B45" s="42" t="s">
        <v>33</v>
      </c>
      <c r="C45" s="50"/>
      <c r="D45" s="50"/>
      <c r="E45" s="50">
        <v>-209618</v>
      </c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2:20" x14ac:dyDescent="0.2">
      <c r="B46" s="49" t="s">
        <v>34</v>
      </c>
      <c r="C46" s="50">
        <v>15026</v>
      </c>
      <c r="D46" s="50">
        <v>20000</v>
      </c>
      <c r="E46" s="5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T46" s="15">
        <f t="shared" ref="T46:T50" si="54">F46-S46</f>
        <v>0</v>
      </c>
    </row>
    <row r="47" spans="2:20" ht="16" thickBot="1" x14ac:dyDescent="0.25">
      <c r="B47" s="49" t="s">
        <v>35</v>
      </c>
      <c r="C47" s="50">
        <v>199408</v>
      </c>
      <c r="D47" s="50">
        <v>300000</v>
      </c>
      <c r="E47" s="55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T47" s="15">
        <f t="shared" si="54"/>
        <v>0</v>
      </c>
    </row>
    <row r="48" spans="2:20" ht="16" thickTop="1" x14ac:dyDescent="0.2">
      <c r="B48" s="52" t="s">
        <v>36</v>
      </c>
      <c r="C48" s="53">
        <f>C46-C47</f>
        <v>-184382</v>
      </c>
      <c r="D48" s="53">
        <f t="shared" ref="D48" si="55">D46-D47</f>
        <v>-280000</v>
      </c>
      <c r="E48" s="53">
        <v>-209618</v>
      </c>
      <c r="F48" s="53">
        <v>-250000</v>
      </c>
      <c r="G48" s="53">
        <f t="shared" ref="G48" si="56">G46-G47</f>
        <v>0</v>
      </c>
      <c r="H48" s="53">
        <f t="shared" ref="H48" si="57">H46-H47</f>
        <v>0</v>
      </c>
      <c r="I48" s="53">
        <f t="shared" ref="I48" si="58">I46-I47</f>
        <v>0</v>
      </c>
      <c r="J48" s="53">
        <f t="shared" ref="J48" si="59">J46-J47</f>
        <v>0</v>
      </c>
      <c r="K48" s="53">
        <f t="shared" ref="K48" si="60">K46-K47</f>
        <v>0</v>
      </c>
      <c r="L48" s="53">
        <f t="shared" ref="L48" si="61">L46-L47</f>
        <v>0</v>
      </c>
      <c r="M48" s="53">
        <f t="shared" ref="M48" si="62">M46-M47</f>
        <v>0</v>
      </c>
      <c r="N48" s="53">
        <f t="shared" ref="N48" si="63">N46-N47</f>
        <v>0</v>
      </c>
      <c r="O48" s="53">
        <f t="shared" ref="O48" si="64">O46-O47</f>
        <v>0</v>
      </c>
      <c r="P48" s="53">
        <f t="shared" ref="P48" si="65">P46-P47</f>
        <v>0</v>
      </c>
      <c r="Q48" s="53">
        <f t="shared" ref="Q48" si="66">Q46-Q47</f>
        <v>0</v>
      </c>
      <c r="R48" s="53">
        <f t="shared" ref="R48" si="67">R46-R47</f>
        <v>0</v>
      </c>
      <c r="S48" s="9">
        <f t="shared" ref="S48" si="68">S46-S47</f>
        <v>0</v>
      </c>
      <c r="T48" s="15">
        <f t="shared" si="54"/>
        <v>-250000</v>
      </c>
    </row>
    <row r="49" spans="2:20" x14ac:dyDescent="0.2">
      <c r="B49" s="43" t="s">
        <v>0</v>
      </c>
      <c r="C49" s="50"/>
      <c r="D49" s="50"/>
      <c r="E49" s="5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T49" s="15">
        <f t="shared" si="54"/>
        <v>0</v>
      </c>
    </row>
    <row r="50" spans="2:20" ht="16" thickBot="1" x14ac:dyDescent="0.25">
      <c r="B50" s="56" t="s">
        <v>37</v>
      </c>
      <c r="C50" s="55">
        <f>C43+C48</f>
        <v>1605801</v>
      </c>
      <c r="D50" s="55">
        <f t="shared" ref="D50:S50" si="69">D43+D48</f>
        <v>810000</v>
      </c>
      <c r="E50" s="55">
        <f t="shared" si="69"/>
        <v>656022</v>
      </c>
      <c r="F50" s="55">
        <f t="shared" si="69"/>
        <v>400000</v>
      </c>
      <c r="G50" s="55">
        <f t="shared" si="69"/>
        <v>0</v>
      </c>
      <c r="H50" s="55">
        <f t="shared" si="69"/>
        <v>0</v>
      </c>
      <c r="I50" s="55">
        <f t="shared" si="69"/>
        <v>0</v>
      </c>
      <c r="J50" s="55">
        <f t="shared" si="69"/>
        <v>0</v>
      </c>
      <c r="K50" s="55">
        <f t="shared" si="69"/>
        <v>0</v>
      </c>
      <c r="L50" s="55">
        <f t="shared" si="69"/>
        <v>0</v>
      </c>
      <c r="M50" s="55">
        <f t="shared" si="69"/>
        <v>0</v>
      </c>
      <c r="N50" s="55">
        <f t="shared" si="69"/>
        <v>0</v>
      </c>
      <c r="O50" s="55">
        <f t="shared" si="69"/>
        <v>0</v>
      </c>
      <c r="P50" s="55">
        <f t="shared" si="69"/>
        <v>0</v>
      </c>
      <c r="Q50" s="55">
        <f t="shared" si="69"/>
        <v>0</v>
      </c>
      <c r="R50" s="55">
        <f t="shared" si="69"/>
        <v>0</v>
      </c>
      <c r="S50" s="11">
        <f t="shared" si="69"/>
        <v>0</v>
      </c>
      <c r="T50" s="15">
        <f t="shared" si="54"/>
        <v>400000</v>
      </c>
    </row>
    <row r="51" spans="2:20" ht="16" thickTop="1" x14ac:dyDescent="0.2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2" spans="2:20" ht="15" customHeight="1" x14ac:dyDescent="0.2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</row>
    <row r="53" spans="2:20" ht="15" customHeight="1" x14ac:dyDescent="0.2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</row>
    <row r="54" spans="2:20" ht="15" customHeight="1" x14ac:dyDescent="0.2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</row>
  </sheetData>
  <mergeCells count="1">
    <mergeCell ref="G2:R2"/>
  </mergeCells>
  <phoneticPr fontId="8" type="noConversion"/>
  <pageMargins left="0.7" right="0.7" top="0.75" bottom="0.75" header="0.3" footer="0.3"/>
  <pageSetup scale="3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FF3F5-A584-4C92-88CA-8BC1105341E7}">
  <sheetPr>
    <pageSetUpPr fitToPage="1"/>
  </sheetPr>
  <dimension ref="B1:S48"/>
  <sheetViews>
    <sheetView zoomScale="80" zoomScaleNormal="80" workbookViewId="0">
      <pane xSplit="2" ySplit="3" topLeftCell="C21" activePane="bottomRight" state="frozen"/>
      <selection pane="topRight"/>
      <selection pane="bottomLeft"/>
      <selection pane="bottomRight" activeCell="C7" sqref="C7:C47"/>
    </sheetView>
  </sheetViews>
  <sheetFormatPr baseColWidth="10" defaultColWidth="12.1640625" defaultRowHeight="15" customHeight="1" x14ac:dyDescent="0.2"/>
  <cols>
    <col min="1" max="1" width="3.6640625" customWidth="1"/>
    <col min="2" max="2" width="32.83203125" bestFit="1" customWidth="1"/>
    <col min="3" max="3" width="13.83203125" bestFit="1" customWidth="1"/>
    <col min="4" max="4" width="4.33203125" customWidth="1"/>
    <col min="18" max="18" width="21" style="12" bestFit="1" customWidth="1"/>
    <col min="19" max="19" width="4.83203125" customWidth="1"/>
  </cols>
  <sheetData>
    <row r="1" spans="2:18" ht="16" thickBot="1" x14ac:dyDescent="0.25">
      <c r="B1" s="1" t="s">
        <v>0</v>
      </c>
      <c r="C1" s="1"/>
      <c r="D1" s="1"/>
    </row>
    <row r="2" spans="2:18" x14ac:dyDescent="0.2">
      <c r="B2" s="1" t="s">
        <v>0</v>
      </c>
      <c r="C2" s="1"/>
      <c r="D2" s="1"/>
      <c r="E2" s="60" t="s">
        <v>39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</row>
    <row r="3" spans="2:18" ht="16" thickBot="1" x14ac:dyDescent="0.25">
      <c r="B3" s="2" t="s">
        <v>0</v>
      </c>
      <c r="C3" s="3" t="s">
        <v>62</v>
      </c>
      <c r="D3" s="3"/>
      <c r="E3" s="16" t="s">
        <v>40</v>
      </c>
      <c r="F3" s="17" t="s">
        <v>41</v>
      </c>
      <c r="G3" s="17" t="s">
        <v>42</v>
      </c>
      <c r="H3" s="17" t="s">
        <v>43</v>
      </c>
      <c r="I3" s="17" t="s">
        <v>44</v>
      </c>
      <c r="J3" s="17" t="s">
        <v>45</v>
      </c>
      <c r="K3" s="17" t="s">
        <v>46</v>
      </c>
      <c r="L3" s="17" t="s">
        <v>47</v>
      </c>
      <c r="M3" s="17" t="s">
        <v>48</v>
      </c>
      <c r="N3" s="17" t="s">
        <v>49</v>
      </c>
      <c r="O3" s="17" t="s">
        <v>50</v>
      </c>
      <c r="P3" s="18" t="s">
        <v>51</v>
      </c>
      <c r="Q3" s="3" t="s">
        <v>52</v>
      </c>
      <c r="R3" s="14" t="s">
        <v>53</v>
      </c>
    </row>
    <row r="4" spans="2:18" x14ac:dyDescent="0.2">
      <c r="B4" t="s">
        <v>0</v>
      </c>
    </row>
    <row r="5" spans="2:18" x14ac:dyDescent="0.2">
      <c r="B5" s="6" t="s">
        <v>2</v>
      </c>
    </row>
    <row r="6" spans="2:18" x14ac:dyDescent="0.2">
      <c r="B6" t="s">
        <v>0</v>
      </c>
    </row>
    <row r="7" spans="2:18" x14ac:dyDescent="0.2">
      <c r="B7" s="4" t="s">
        <v>3</v>
      </c>
      <c r="C7" s="7">
        <v>4779996</v>
      </c>
      <c r="D7" s="7"/>
      <c r="E7" s="7">
        <v>771502</v>
      </c>
      <c r="F7" s="7">
        <v>462427</v>
      </c>
      <c r="G7" s="7">
        <v>332673</v>
      </c>
      <c r="H7" s="7">
        <v>386699</v>
      </c>
      <c r="I7" s="7">
        <f>405335+50000</f>
        <v>455335</v>
      </c>
      <c r="J7" s="7">
        <v>357147</v>
      </c>
      <c r="K7" s="7">
        <v>344502</v>
      </c>
      <c r="L7" s="7">
        <f>364231-50000</f>
        <v>314231</v>
      </c>
      <c r="M7" s="7">
        <v>348796.95</v>
      </c>
      <c r="N7" s="7">
        <v>349483.05</v>
      </c>
      <c r="O7" s="7">
        <v>133825</v>
      </c>
      <c r="P7" s="7">
        <v>523375.47</v>
      </c>
      <c r="Q7" s="13">
        <f>SUM(E7:P7)</f>
        <v>4779996.47</v>
      </c>
      <c r="R7" s="15">
        <f>C7-Q7</f>
        <v>-0.46999999973922968</v>
      </c>
    </row>
    <row r="8" spans="2:18" x14ac:dyDescent="0.2">
      <c r="B8" s="4" t="s">
        <v>4</v>
      </c>
      <c r="C8" s="7">
        <v>1353940</v>
      </c>
      <c r="D8" s="7"/>
      <c r="E8" s="7">
        <v>25000</v>
      </c>
      <c r="F8" s="7">
        <v>20000</v>
      </c>
      <c r="G8" s="7">
        <v>40000</v>
      </c>
      <c r="H8" s="7">
        <v>216000</v>
      </c>
      <c r="I8" s="7">
        <v>44250</v>
      </c>
      <c r="J8" s="7">
        <v>389170</v>
      </c>
      <c r="K8" s="7">
        <v>0</v>
      </c>
      <c r="L8" s="7">
        <v>100000</v>
      </c>
      <c r="M8" s="7">
        <v>370520</v>
      </c>
      <c r="N8" s="7">
        <v>44000</v>
      </c>
      <c r="O8" s="7">
        <v>70000</v>
      </c>
      <c r="P8" s="7">
        <v>35000</v>
      </c>
      <c r="Q8" s="13">
        <f t="shared" ref="Q8:Q14" si="0">SUM(E8:P8)</f>
        <v>1353940</v>
      </c>
      <c r="R8" s="15">
        <f t="shared" ref="R8:R15" si="1">C8-Q8</f>
        <v>0</v>
      </c>
    </row>
    <row r="9" spans="2:18" x14ac:dyDescent="0.2">
      <c r="B9" s="4" t="s">
        <v>5</v>
      </c>
      <c r="C9" s="7">
        <v>1349855</v>
      </c>
      <c r="D9" s="7"/>
      <c r="E9" s="7">
        <v>6072.9</v>
      </c>
      <c r="F9" s="7">
        <v>6072.91</v>
      </c>
      <c r="G9" s="7">
        <v>41475.410000000003</v>
      </c>
      <c r="H9" s="7">
        <v>45425.01</v>
      </c>
      <c r="I9" s="7">
        <f>374914.89-50000</f>
        <v>324914.89</v>
      </c>
      <c r="J9" s="7">
        <v>44000</v>
      </c>
      <c r="K9" s="7">
        <f>45000+124751</f>
        <v>169751</v>
      </c>
      <c r="L9" s="7">
        <v>128834.48</v>
      </c>
      <c r="M9" s="7">
        <v>1076</v>
      </c>
      <c r="N9" s="7">
        <v>89331</v>
      </c>
      <c r="O9" s="7"/>
      <c r="P9" s="7">
        <v>492901</v>
      </c>
      <c r="Q9" s="13">
        <f t="shared" si="0"/>
        <v>1349854.6</v>
      </c>
      <c r="R9" s="15">
        <f t="shared" si="1"/>
        <v>0.39999999990686774</v>
      </c>
    </row>
    <row r="10" spans="2:18" x14ac:dyDescent="0.2">
      <c r="B10" s="4" t="s">
        <v>6</v>
      </c>
      <c r="C10" s="7">
        <v>973035</v>
      </c>
      <c r="D10" s="7"/>
      <c r="E10" s="7">
        <v>0</v>
      </c>
      <c r="F10" s="7">
        <v>0</v>
      </c>
      <c r="G10" s="7">
        <f>37553.9-1947</f>
        <v>35606.9</v>
      </c>
      <c r="H10" s="7">
        <v>134785.67000000001</v>
      </c>
      <c r="I10" s="7">
        <v>248703.04</v>
      </c>
      <c r="J10" s="7">
        <v>268645</v>
      </c>
      <c r="K10" s="7">
        <v>-50340</v>
      </c>
      <c r="L10" s="7">
        <v>198515.66</v>
      </c>
      <c r="M10" s="7">
        <v>101633.8</v>
      </c>
      <c r="N10" s="7">
        <v>19117.88</v>
      </c>
      <c r="O10" s="7">
        <v>8664.7999999999993</v>
      </c>
      <c r="P10" s="7">
        <v>7702.15</v>
      </c>
      <c r="Q10" s="13">
        <f t="shared" si="0"/>
        <v>973034.90000000014</v>
      </c>
      <c r="R10" s="15">
        <f t="shared" si="1"/>
        <v>9.9999999860301614E-2</v>
      </c>
    </row>
    <row r="11" spans="2:18" x14ac:dyDescent="0.2">
      <c r="B11" s="4" t="s">
        <v>7</v>
      </c>
      <c r="C11" s="7">
        <v>1771447</v>
      </c>
      <c r="D11" s="7"/>
      <c r="E11" s="7">
        <v>0</v>
      </c>
      <c r="F11" s="7">
        <v>5000</v>
      </c>
      <c r="G11" s="7">
        <v>184882.5</v>
      </c>
      <c r="H11" s="7">
        <v>435331.5</v>
      </c>
      <c r="I11" s="7">
        <v>283412.5</v>
      </c>
      <c r="J11" s="7">
        <v>173706.5</v>
      </c>
      <c r="K11" s="7">
        <v>230036</v>
      </c>
      <c r="L11" s="7">
        <v>177692.5</v>
      </c>
      <c r="M11" s="7">
        <v>203740</v>
      </c>
      <c r="N11" s="7">
        <v>59310</v>
      </c>
      <c r="O11" s="7">
        <v>17740</v>
      </c>
      <c r="P11" s="7">
        <v>595</v>
      </c>
      <c r="Q11" s="13">
        <f t="shared" si="0"/>
        <v>1771446.5</v>
      </c>
      <c r="R11" s="15">
        <f t="shared" si="1"/>
        <v>0.5</v>
      </c>
    </row>
    <row r="12" spans="2:18" x14ac:dyDescent="0.2">
      <c r="B12" s="4" t="s">
        <v>8</v>
      </c>
      <c r="C12" s="7">
        <v>3287223</v>
      </c>
      <c r="D12" s="7"/>
      <c r="E12" s="7">
        <v>16132.96</v>
      </c>
      <c r="F12" s="7">
        <v>88803.72</v>
      </c>
      <c r="G12" s="7">
        <v>211122.95</v>
      </c>
      <c r="H12" s="7">
        <v>468089.92</v>
      </c>
      <c r="I12" s="7">
        <v>466651.39</v>
      </c>
      <c r="J12" s="7">
        <v>338150.86</v>
      </c>
      <c r="K12" s="7">
        <v>522070.25</v>
      </c>
      <c r="L12" s="7">
        <v>380128.51</v>
      </c>
      <c r="M12" s="7">
        <v>409291.72</v>
      </c>
      <c r="N12" s="7">
        <v>224219.19</v>
      </c>
      <c r="O12" s="7">
        <v>100467.56</v>
      </c>
      <c r="P12" s="7">
        <v>62093.83</v>
      </c>
      <c r="Q12" s="13">
        <f t="shared" si="0"/>
        <v>3287222.8599999994</v>
      </c>
      <c r="R12" s="15">
        <f t="shared" si="1"/>
        <v>0.14000000059604645</v>
      </c>
    </row>
    <row r="13" spans="2:18" x14ac:dyDescent="0.2">
      <c r="B13" s="4" t="s">
        <v>55</v>
      </c>
      <c r="C13" s="7">
        <v>682695</v>
      </c>
      <c r="D13" s="7"/>
      <c r="E13" s="7">
        <v>0</v>
      </c>
      <c r="F13" s="7">
        <v>0</v>
      </c>
      <c r="G13" s="7">
        <v>0</v>
      </c>
      <c r="H13" s="7">
        <v>41725</v>
      </c>
      <c r="I13" s="7">
        <v>56324</v>
      </c>
      <c r="J13" s="7">
        <v>97220</v>
      </c>
      <c r="K13" s="7">
        <v>6550</v>
      </c>
      <c r="L13" s="7">
        <v>150375</v>
      </c>
      <c r="M13" s="7">
        <v>38550</v>
      </c>
      <c r="N13" s="7">
        <v>17200</v>
      </c>
      <c r="O13" s="7">
        <v>0</v>
      </c>
      <c r="P13" s="7">
        <v>274751</v>
      </c>
      <c r="Q13" s="13">
        <f t="shared" si="0"/>
        <v>682695</v>
      </c>
      <c r="R13" s="15">
        <f t="shared" si="1"/>
        <v>0</v>
      </c>
    </row>
    <row r="14" spans="2:18" x14ac:dyDescent="0.2">
      <c r="B14" s="4" t="s">
        <v>9</v>
      </c>
      <c r="C14" s="7">
        <v>158066</v>
      </c>
      <c r="D14" s="7"/>
      <c r="E14" s="7">
        <v>0</v>
      </c>
      <c r="F14" s="7">
        <v>0</v>
      </c>
      <c r="G14" s="7">
        <f>36650-556</f>
        <v>36094</v>
      </c>
      <c r="H14" s="7">
        <v>18221</v>
      </c>
      <c r="I14" s="7">
        <v>46374</v>
      </c>
      <c r="J14" s="7">
        <v>82444</v>
      </c>
      <c r="K14" s="7">
        <v>57827.56</v>
      </c>
      <c r="L14" s="7">
        <v>84472</v>
      </c>
      <c r="M14" s="7">
        <v>37790</v>
      </c>
      <c r="N14" s="7">
        <v>9864</v>
      </c>
      <c r="O14" s="7">
        <v>-8925</v>
      </c>
      <c r="P14" s="7">
        <v>-206096</v>
      </c>
      <c r="Q14" s="13">
        <f t="shared" si="0"/>
        <v>158065.56</v>
      </c>
      <c r="R14" s="15">
        <f t="shared" si="1"/>
        <v>0.44000000000232831</v>
      </c>
    </row>
    <row r="15" spans="2:18" x14ac:dyDescent="0.2">
      <c r="B15" s="8" t="s">
        <v>10</v>
      </c>
      <c r="C15" s="9">
        <f t="shared" ref="C15:Q15" si="2">SUM(C7:C14)</f>
        <v>14356257</v>
      </c>
      <c r="D15" s="9"/>
      <c r="E15" s="9">
        <f t="shared" si="2"/>
        <v>818707.86</v>
      </c>
      <c r="F15" s="9">
        <f t="shared" si="2"/>
        <v>582303.63</v>
      </c>
      <c r="G15" s="9">
        <f t="shared" si="2"/>
        <v>881854.76</v>
      </c>
      <c r="H15" s="9">
        <f t="shared" si="2"/>
        <v>1746277.1</v>
      </c>
      <c r="I15" s="9">
        <f t="shared" si="2"/>
        <v>1925964.8199999998</v>
      </c>
      <c r="J15" s="9">
        <f t="shared" si="2"/>
        <v>1750483.3599999999</v>
      </c>
      <c r="K15" s="9">
        <f t="shared" si="2"/>
        <v>1280396.81</v>
      </c>
      <c r="L15" s="9">
        <f t="shared" si="2"/>
        <v>1534249.15</v>
      </c>
      <c r="M15" s="9">
        <f t="shared" si="2"/>
        <v>1511398.47</v>
      </c>
      <c r="N15" s="9">
        <f t="shared" si="2"/>
        <v>812525.11999999988</v>
      </c>
      <c r="O15" s="9">
        <f t="shared" si="2"/>
        <v>321772.36</v>
      </c>
      <c r="P15" s="9">
        <f t="shared" si="2"/>
        <v>1190322.45</v>
      </c>
      <c r="Q15" s="9">
        <f t="shared" si="2"/>
        <v>14356255.890000001</v>
      </c>
      <c r="R15" s="15">
        <f t="shared" si="1"/>
        <v>1.1099999994039536</v>
      </c>
    </row>
    <row r="16" spans="2:18" x14ac:dyDescent="0.2">
      <c r="B1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2:19" x14ac:dyDescent="0.2">
      <c r="B17" s="6" t="s">
        <v>11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2:19" x14ac:dyDescent="0.2">
      <c r="B18" s="4" t="s">
        <v>12</v>
      </c>
      <c r="C18" s="7">
        <v>3059263</v>
      </c>
      <c r="D18" s="7"/>
      <c r="E18" s="7">
        <v>12850</v>
      </c>
      <c r="F18" s="7">
        <f>70599+501</f>
        <v>71100</v>
      </c>
      <c r="G18" s="7">
        <f>1794452.98-1627135</f>
        <v>167317.97999999998</v>
      </c>
      <c r="H18" s="7">
        <v>372132</v>
      </c>
      <c r="I18" s="7">
        <v>370987</v>
      </c>
      <c r="J18" s="7">
        <v>268830</v>
      </c>
      <c r="K18" s="7">
        <v>415046</v>
      </c>
      <c r="L18" s="7">
        <f>486196.35-183994</f>
        <v>302202.34999999998</v>
      </c>
      <c r="M18" s="7">
        <v>325387</v>
      </c>
      <c r="N18" s="7">
        <v>178253</v>
      </c>
      <c r="O18" s="7">
        <v>-2263</v>
      </c>
      <c r="P18" s="7">
        <v>577421</v>
      </c>
      <c r="Q18" s="13">
        <f t="shared" ref="Q18:Q25" si="3">SUM(E18:P18)</f>
        <v>3059263.33</v>
      </c>
      <c r="R18" s="15">
        <f t="shared" ref="R18:R26" si="4">C18-Q18</f>
        <v>-0.33000000007450581</v>
      </c>
    </row>
    <row r="19" spans="2:19" x14ac:dyDescent="0.2">
      <c r="B19" s="4" t="s">
        <v>55</v>
      </c>
      <c r="C19" s="7">
        <v>512409</v>
      </c>
      <c r="D19" s="7"/>
      <c r="E19" s="7">
        <v>17812.5</v>
      </c>
      <c r="F19" s="7">
        <v>14200</v>
      </c>
      <c r="G19" s="7">
        <v>3000</v>
      </c>
      <c r="H19" s="7">
        <v>27000</v>
      </c>
      <c r="I19" s="7">
        <f>28933-600</f>
        <v>28333</v>
      </c>
      <c r="J19" s="7">
        <v>25265</v>
      </c>
      <c r="K19" s="7">
        <v>30645.47</v>
      </c>
      <c r="L19" s="7">
        <v>237833.55</v>
      </c>
      <c r="M19" s="7">
        <f>25104+600</f>
        <v>25704</v>
      </c>
      <c r="N19" s="7">
        <v>25700</v>
      </c>
      <c r="O19" s="7">
        <v>6500</v>
      </c>
      <c r="P19" s="7">
        <v>70415</v>
      </c>
      <c r="Q19" s="13">
        <f t="shared" si="3"/>
        <v>512408.52</v>
      </c>
      <c r="R19" s="15">
        <f t="shared" si="4"/>
        <v>0.47999999998137355</v>
      </c>
    </row>
    <row r="20" spans="2:19" x14ac:dyDescent="0.2">
      <c r="B20" s="4" t="s">
        <v>13</v>
      </c>
      <c r="C20" s="7">
        <v>2420757</v>
      </c>
      <c r="D20" s="7"/>
      <c r="E20" s="7">
        <f>137119.53808+9949</f>
        <v>147068.53808</v>
      </c>
      <c r="F20" s="7">
        <f>161655.60208+9949</f>
        <v>171604.60208000001</v>
      </c>
      <c r="G20" s="7">
        <f>167790.896+9949</f>
        <v>177739.89600000001</v>
      </c>
      <c r="H20" s="7">
        <f>163190.384+9949</f>
        <v>173139.38399999999</v>
      </c>
      <c r="I20" s="7">
        <f>176250.7264+9949</f>
        <v>186199.72640000001</v>
      </c>
      <c r="J20" s="7">
        <f>48778.2064+9949</f>
        <v>58727.206400000003</v>
      </c>
      <c r="K20" s="7">
        <f>227762.40368+9949</f>
        <v>237711.40367999999</v>
      </c>
      <c r="L20" s="7">
        <f>189372.40896+9949</f>
        <v>199321.40896</v>
      </c>
      <c r="M20" s="7">
        <f>185168.05216+9949</f>
        <v>195117.05215999999</v>
      </c>
      <c r="N20" s="7">
        <f>186017.86896+9949</f>
        <v>195966.86895999999</v>
      </c>
      <c r="O20" s="7">
        <v>302526</v>
      </c>
      <c r="P20" s="7">
        <v>375635</v>
      </c>
      <c r="Q20" s="13">
        <f t="shared" si="3"/>
        <v>2420757.08672</v>
      </c>
      <c r="R20" s="15">
        <f t="shared" si="4"/>
        <v>-8.6720000021159649E-2</v>
      </c>
    </row>
    <row r="21" spans="2:19" x14ac:dyDescent="0.2">
      <c r="B21" s="4" t="s">
        <v>14</v>
      </c>
      <c r="C21" s="7">
        <v>1096223</v>
      </c>
      <c r="D21" s="7"/>
      <c r="E21" s="7">
        <v>113901.64</v>
      </c>
      <c r="F21" s="7">
        <f>82171.7+250</f>
        <v>82421.7</v>
      </c>
      <c r="G21" s="7">
        <v>30792.959999999999</v>
      </c>
      <c r="H21" s="7">
        <v>108925.52</v>
      </c>
      <c r="I21" s="7">
        <f>124176.24-6542</f>
        <v>117634.24000000001</v>
      </c>
      <c r="J21" s="7">
        <v>106704.55</v>
      </c>
      <c r="K21" s="7">
        <v>86469.01</v>
      </c>
      <c r="L21" s="7">
        <f>66028.5+292</f>
        <v>66320.5</v>
      </c>
      <c r="M21" s="7">
        <f>74047.8+6000</f>
        <v>80047.8</v>
      </c>
      <c r="N21" s="7">
        <v>92177.78</v>
      </c>
      <c r="O21" s="7">
        <v>124360.08</v>
      </c>
      <c r="P21" s="7">
        <v>86467.47</v>
      </c>
      <c r="Q21" s="13">
        <f t="shared" si="3"/>
        <v>1096223.25</v>
      </c>
      <c r="R21" s="15">
        <f t="shared" si="4"/>
        <v>-0.25</v>
      </c>
    </row>
    <row r="22" spans="2:19" x14ac:dyDescent="0.2">
      <c r="B22" s="4" t="s">
        <v>15</v>
      </c>
      <c r="C22" s="7">
        <v>153493</v>
      </c>
      <c r="D22" s="7"/>
      <c r="E22" s="7">
        <v>11067.25</v>
      </c>
      <c r="F22" s="7">
        <v>11067.25</v>
      </c>
      <c r="G22" s="7">
        <v>11067.25</v>
      </c>
      <c r="H22" s="7">
        <v>40097.25</v>
      </c>
      <c r="I22" s="7">
        <v>-13367</v>
      </c>
      <c r="J22" s="7">
        <v>13367</v>
      </c>
      <c r="K22" s="7">
        <v>13365.75</v>
      </c>
      <c r="L22" s="7">
        <v>13365.75</v>
      </c>
      <c r="M22" s="7">
        <v>13365.75</v>
      </c>
      <c r="N22" s="7">
        <v>13365.67</v>
      </c>
      <c r="O22" s="7">
        <v>13365.67</v>
      </c>
      <c r="P22" s="7">
        <v>13365.66</v>
      </c>
      <c r="Q22" s="13">
        <f t="shared" si="3"/>
        <v>153493.25</v>
      </c>
      <c r="R22" s="15">
        <f t="shared" si="4"/>
        <v>-0.25</v>
      </c>
    </row>
    <row r="23" spans="2:19" x14ac:dyDescent="0.2">
      <c r="B23" s="4" t="s">
        <v>16</v>
      </c>
      <c r="C23" s="7">
        <v>450161</v>
      </c>
      <c r="D23" s="7"/>
      <c r="E23" s="7">
        <v>15000</v>
      </c>
      <c r="F23" s="7">
        <v>15000</v>
      </c>
      <c r="G23" s="7">
        <f>258647-223985</f>
        <v>34662</v>
      </c>
      <c r="H23" s="7">
        <f>39605/2</f>
        <v>19802.5</v>
      </c>
      <c r="I23" s="7">
        <v>19803</v>
      </c>
      <c r="J23" s="7">
        <f>201484/3</f>
        <v>67161.333333333328</v>
      </c>
      <c r="K23" s="7">
        <v>67161</v>
      </c>
      <c r="L23" s="7">
        <v>67161</v>
      </c>
      <c r="M23" s="7">
        <f>29097/2</f>
        <v>14548.5</v>
      </c>
      <c r="N23" s="7">
        <v>14549</v>
      </c>
      <c r="O23" s="7">
        <v>57656.36</v>
      </c>
      <c r="P23" s="7">
        <v>57656.36</v>
      </c>
      <c r="Q23" s="13">
        <f t="shared" si="3"/>
        <v>450161.05333333329</v>
      </c>
      <c r="R23" s="15">
        <f t="shared" si="4"/>
        <v>-5.3333333285991102E-2</v>
      </c>
    </row>
    <row r="24" spans="2:19" x14ac:dyDescent="0.2">
      <c r="B24" s="4" t="s">
        <v>17</v>
      </c>
      <c r="C24" s="7">
        <v>242724</v>
      </c>
      <c r="D24" s="7"/>
      <c r="E24" s="7">
        <v>0</v>
      </c>
      <c r="F24" s="7">
        <v>6797.52</v>
      </c>
      <c r="G24" s="7">
        <f>9189+428</f>
        <v>9617</v>
      </c>
      <c r="H24" s="7">
        <v>4584</v>
      </c>
      <c r="I24" s="7">
        <f>8575.55-6265</f>
        <v>2310.5499999999993</v>
      </c>
      <c r="J24" s="7">
        <f>7936.5+5837</f>
        <v>13773.5</v>
      </c>
      <c r="K24" s="7">
        <v>39337.5</v>
      </c>
      <c r="L24" s="7">
        <v>16720.61</v>
      </c>
      <c r="M24" s="7">
        <v>0</v>
      </c>
      <c r="N24" s="7">
        <v>13322.18</v>
      </c>
      <c r="O24" s="7">
        <v>121165.6</v>
      </c>
      <c r="P24" s="7">
        <v>15095.45</v>
      </c>
      <c r="Q24" s="13">
        <f t="shared" si="3"/>
        <v>242723.91000000003</v>
      </c>
      <c r="R24" s="15">
        <f t="shared" si="4"/>
        <v>8.999999996740371E-2</v>
      </c>
    </row>
    <row r="25" spans="2:19" x14ac:dyDescent="0.2">
      <c r="B25" s="4" t="s">
        <v>18</v>
      </c>
      <c r="C25" s="7">
        <v>1247651</v>
      </c>
      <c r="D25" s="7"/>
      <c r="E25" s="7">
        <f>90492.68-12650</f>
        <v>77842.679999999993</v>
      </c>
      <c r="F25" s="7">
        <v>64042.79</v>
      </c>
      <c r="G25" s="7">
        <f>183782.04+949</f>
        <v>184731.04</v>
      </c>
      <c r="H25" s="7">
        <v>99394.4</v>
      </c>
      <c r="I25" s="7">
        <f>90525.45-29937</f>
        <v>60588.45</v>
      </c>
      <c r="J25" s="7">
        <f>118895.66+19933</f>
        <v>138828.66</v>
      </c>
      <c r="K25" s="7">
        <v>120977.27</v>
      </c>
      <c r="L25" s="7">
        <v>194492.68</v>
      </c>
      <c r="M25" s="7">
        <f>138976.57-34600</f>
        <v>104376.57</v>
      </c>
      <c r="N25" s="7">
        <v>91641.48</v>
      </c>
      <c r="O25" s="7">
        <v>61154</v>
      </c>
      <c r="P25" s="7">
        <v>49581.3</v>
      </c>
      <c r="Q25" s="13">
        <f t="shared" si="3"/>
        <v>1247651.32</v>
      </c>
      <c r="R25" s="15">
        <f t="shared" si="4"/>
        <v>-0.32000000006519258</v>
      </c>
    </row>
    <row r="26" spans="2:19" x14ac:dyDescent="0.2">
      <c r="B26" s="8" t="s">
        <v>19</v>
      </c>
      <c r="C26" s="9">
        <f t="shared" ref="C26:Q26" si="5">SUM(C18:C25)</f>
        <v>9182681</v>
      </c>
      <c r="D26" s="9"/>
      <c r="E26" s="9">
        <f t="shared" si="5"/>
        <v>395542.60807999998</v>
      </c>
      <c r="F26" s="9">
        <f t="shared" si="5"/>
        <v>436233.86207999999</v>
      </c>
      <c r="G26" s="9">
        <f t="shared" si="5"/>
        <v>618928.12600000005</v>
      </c>
      <c r="H26" s="9">
        <f t="shared" si="5"/>
        <v>845075.054</v>
      </c>
      <c r="I26" s="9">
        <f t="shared" si="5"/>
        <v>772488.96640000003</v>
      </c>
      <c r="J26" s="9">
        <f t="shared" si="5"/>
        <v>692657.24973333336</v>
      </c>
      <c r="K26" s="9">
        <f t="shared" si="5"/>
        <v>1010713.40368</v>
      </c>
      <c r="L26" s="9">
        <f t="shared" si="5"/>
        <v>1097417.8489599999</v>
      </c>
      <c r="M26" s="9">
        <f t="shared" si="5"/>
        <v>758546.67216000007</v>
      </c>
      <c r="N26" s="9">
        <f t="shared" si="5"/>
        <v>624975.97895999998</v>
      </c>
      <c r="O26" s="9">
        <f t="shared" si="5"/>
        <v>684464.71</v>
      </c>
      <c r="P26" s="9">
        <f t="shared" si="5"/>
        <v>1245637.24</v>
      </c>
      <c r="Q26" s="9">
        <f t="shared" si="5"/>
        <v>9182681.7200533338</v>
      </c>
      <c r="R26" s="15">
        <f t="shared" si="4"/>
        <v>-0.72005333378911018</v>
      </c>
    </row>
    <row r="27" spans="2:19" x14ac:dyDescent="0.2">
      <c r="B27" t="s"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2:19" x14ac:dyDescent="0.2">
      <c r="B28" s="6" t="s">
        <v>20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2:19" x14ac:dyDescent="0.2">
      <c r="B29" s="4" t="s">
        <v>21</v>
      </c>
      <c r="C29" s="7">
        <v>2029516</v>
      </c>
      <c r="D29" s="7"/>
      <c r="E29" s="7">
        <v>155055.14528000003</v>
      </c>
      <c r="F29" s="7">
        <f>155055.14528-74290</f>
        <v>80765.145279999997</v>
      </c>
      <c r="G29" s="7">
        <f>155055.14528-38760</f>
        <v>116295.14528</v>
      </c>
      <c r="H29" s="7">
        <f>208562.9336-17765</f>
        <v>190797.93359999999</v>
      </c>
      <c r="I29" s="7">
        <f>226280.01648-9696</f>
        <v>216584.01647999999</v>
      </c>
      <c r="J29" s="7">
        <f>76355.72-6030</f>
        <v>70325.72</v>
      </c>
      <c r="K29" s="7">
        <v>247383.58736000003</v>
      </c>
      <c r="L29" s="7">
        <v>238651.56000000003</v>
      </c>
      <c r="M29" s="7">
        <v>210144.99856000001</v>
      </c>
      <c r="N29" s="7">
        <v>201591.88000000003</v>
      </c>
      <c r="O29" s="7">
        <v>201592</v>
      </c>
      <c r="P29" s="7">
        <v>100329</v>
      </c>
      <c r="Q29" s="7">
        <f t="shared" ref="Q29:Q30" si="6">SUM(E29:P29)</f>
        <v>2029516.1318400002</v>
      </c>
      <c r="R29" s="37">
        <f t="shared" ref="R29:R32" si="7">C29-Q29</f>
        <v>-0.13184000016190112</v>
      </c>
      <c r="S29" s="7"/>
    </row>
    <row r="30" spans="2:19" x14ac:dyDescent="0.2">
      <c r="B30" s="4" t="s">
        <v>22</v>
      </c>
      <c r="C30" s="7">
        <v>537478</v>
      </c>
      <c r="D30" s="7"/>
      <c r="E30" s="7">
        <v>15271.12</v>
      </c>
      <c r="F30" s="7">
        <v>22911.05</v>
      </c>
      <c r="G30" s="7">
        <v>106484.39</v>
      </c>
      <c r="H30" s="7">
        <f>175408.14-93</f>
        <v>175315.14</v>
      </c>
      <c r="I30" s="7">
        <v>52005.54</v>
      </c>
      <c r="J30" s="7">
        <v>85146.84</v>
      </c>
      <c r="K30" s="7">
        <f>58393.28+93</f>
        <v>58486.28</v>
      </c>
      <c r="L30" s="7">
        <v>60266.69</v>
      </c>
      <c r="M30" s="7">
        <v>106265.59</v>
      </c>
      <c r="N30" s="7">
        <v>38529.49</v>
      </c>
      <c r="O30" s="7">
        <v>-7530.74</v>
      </c>
      <c r="P30" s="7">
        <v>-175673.46</v>
      </c>
      <c r="Q30" s="13">
        <f t="shared" si="6"/>
        <v>537477.93000000005</v>
      </c>
      <c r="R30" s="15">
        <f t="shared" si="7"/>
        <v>6.9999999948777258E-2</v>
      </c>
    </row>
    <row r="31" spans="2:19" x14ac:dyDescent="0.2">
      <c r="B31" s="4" t="s">
        <v>23</v>
      </c>
      <c r="C31" s="7">
        <v>953538</v>
      </c>
      <c r="D31" s="7"/>
      <c r="E31" s="7">
        <v>46645.71</v>
      </c>
      <c r="F31" s="7">
        <f>81821.23-27250</f>
        <v>54571.229999999996</v>
      </c>
      <c r="G31" s="7">
        <v>72869.31</v>
      </c>
      <c r="H31" s="7">
        <f>65785.88+27250</f>
        <v>93035.88</v>
      </c>
      <c r="I31" s="7">
        <v>124207.81</v>
      </c>
      <c r="J31" s="7">
        <v>97335.22</v>
      </c>
      <c r="K31" s="7">
        <f>62098.95+12212</f>
        <v>74310.95</v>
      </c>
      <c r="L31" s="7">
        <v>106655.31</v>
      </c>
      <c r="M31" s="7">
        <f>76936.02-12212</f>
        <v>64724.020000000004</v>
      </c>
      <c r="N31" s="7">
        <v>60774.11</v>
      </c>
      <c r="O31" s="7">
        <v>88808.1</v>
      </c>
      <c r="P31" s="7">
        <v>69600.17</v>
      </c>
      <c r="Q31" s="13">
        <f>SUM(E31:P31)</f>
        <v>953537.82</v>
      </c>
      <c r="R31" s="15">
        <f t="shared" si="7"/>
        <v>0.18000000005122274</v>
      </c>
    </row>
    <row r="32" spans="2:19" x14ac:dyDescent="0.2">
      <c r="B32" s="8" t="s">
        <v>24</v>
      </c>
      <c r="C32" s="9">
        <f t="shared" ref="C32:Q32" si="8">SUM(C29:C31)</f>
        <v>3520532</v>
      </c>
      <c r="D32" s="9"/>
      <c r="E32" s="9">
        <f>SUM(E29:E31)</f>
        <v>216971.97528000001</v>
      </c>
      <c r="F32" s="9">
        <f t="shared" ref="F32:P32" si="9">SUM(F29:F31)</f>
        <v>158247.42528</v>
      </c>
      <c r="G32" s="9">
        <f t="shared" si="9"/>
        <v>295648.84528000001</v>
      </c>
      <c r="H32" s="9">
        <f t="shared" si="9"/>
        <v>459148.95360000001</v>
      </c>
      <c r="I32" s="9">
        <f t="shared" si="9"/>
        <v>392797.36647999997</v>
      </c>
      <c r="J32" s="9">
        <f t="shared" si="9"/>
        <v>252807.78</v>
      </c>
      <c r="K32" s="9">
        <f t="shared" si="9"/>
        <v>380180.81736000004</v>
      </c>
      <c r="L32" s="9">
        <f t="shared" si="9"/>
        <v>405573.56</v>
      </c>
      <c r="M32" s="9">
        <f t="shared" si="9"/>
        <v>381134.60856000002</v>
      </c>
      <c r="N32" s="9">
        <f t="shared" si="9"/>
        <v>300895.48000000004</v>
      </c>
      <c r="O32" s="9">
        <f t="shared" si="9"/>
        <v>282869.36</v>
      </c>
      <c r="P32" s="9">
        <f t="shared" si="9"/>
        <v>-5744.2899999999936</v>
      </c>
      <c r="Q32" s="9">
        <f t="shared" si="8"/>
        <v>3520531.8818399999</v>
      </c>
      <c r="R32" s="15">
        <f t="shared" si="7"/>
        <v>0.11816000007092953</v>
      </c>
    </row>
    <row r="33" spans="2:18" x14ac:dyDescent="0.2">
      <c r="B33" t="s"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8" x14ac:dyDescent="0.2">
      <c r="B34" s="6" t="s">
        <v>25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2:18" x14ac:dyDescent="0.2">
      <c r="B35" s="4" t="s">
        <v>26</v>
      </c>
      <c r="C35" s="7">
        <v>1357215</v>
      </c>
      <c r="D35" s="7"/>
      <c r="E35" s="7">
        <v>0</v>
      </c>
      <c r="F35" s="7">
        <v>25196.400000000001</v>
      </c>
      <c r="G35" s="7">
        <v>65720.14</v>
      </c>
      <c r="H35" s="7">
        <v>161801.15</v>
      </c>
      <c r="I35" s="7">
        <v>256310.43</v>
      </c>
      <c r="J35" s="7">
        <v>228788.33</v>
      </c>
      <c r="K35" s="7">
        <v>176693.03</v>
      </c>
      <c r="L35" s="7">
        <v>206230.79</v>
      </c>
      <c r="M35" s="7">
        <v>132924.37</v>
      </c>
      <c r="N35" s="7">
        <v>83583.31</v>
      </c>
      <c r="O35" s="7">
        <v>19358.45</v>
      </c>
      <c r="P35" s="7">
        <v>608.94000000000005</v>
      </c>
      <c r="Q35" s="13">
        <f t="shared" ref="Q35:Q37" si="10">SUM(E35:P35)</f>
        <v>1357215.34</v>
      </c>
      <c r="R35" s="15">
        <f t="shared" ref="R35:R38" si="11">C35-Q35</f>
        <v>-0.34000000008381903</v>
      </c>
    </row>
    <row r="36" spans="2:18" x14ac:dyDescent="0.2">
      <c r="B36" s="4" t="s">
        <v>27</v>
      </c>
      <c r="C36" s="7">
        <v>678333</v>
      </c>
      <c r="D36" s="7"/>
      <c r="E36" s="7">
        <v>0</v>
      </c>
      <c r="F36" s="7">
        <v>20000</v>
      </c>
      <c r="G36" s="7">
        <f>24313.62-23453</f>
        <v>860.61999999999898</v>
      </c>
      <c r="H36" s="7">
        <v>86089.38</v>
      </c>
      <c r="I36" s="7">
        <v>136626.59</v>
      </c>
      <c r="J36" s="7">
        <v>109195.73</v>
      </c>
      <c r="K36" s="7">
        <v>100052.84</v>
      </c>
      <c r="L36" s="7">
        <v>92392.84</v>
      </c>
      <c r="M36" s="7">
        <v>77650.78</v>
      </c>
      <c r="N36" s="7">
        <v>46333.09</v>
      </c>
      <c r="O36" s="7">
        <v>17429.060000000001</v>
      </c>
      <c r="P36" s="7">
        <v>-8298.61</v>
      </c>
      <c r="Q36" s="13">
        <f t="shared" si="10"/>
        <v>678332.32000000007</v>
      </c>
      <c r="R36" s="15">
        <f t="shared" si="11"/>
        <v>0.67999999993480742</v>
      </c>
    </row>
    <row r="37" spans="2:18" x14ac:dyDescent="0.2">
      <c r="B37" s="4" t="s">
        <v>28</v>
      </c>
      <c r="C37" s="7">
        <v>583788</v>
      </c>
      <c r="D37" s="7"/>
      <c r="E37" s="7">
        <v>27785.814560000003</v>
      </c>
      <c r="F37" s="7">
        <v>20446.72</v>
      </c>
      <c r="G37" s="7">
        <v>20446.72</v>
      </c>
      <c r="H37" s="7">
        <v>36318.486400000002</v>
      </c>
      <c r="I37" s="7">
        <v>73927.672000000006</v>
      </c>
      <c r="J37" s="7">
        <v>68441.561440000005</v>
      </c>
      <c r="K37" s="7">
        <v>60040.515360000005</v>
      </c>
      <c r="L37" s="7">
        <v>88129.196960000016</v>
      </c>
      <c r="M37" s="7">
        <v>76391.501759999999</v>
      </c>
      <c r="N37" s="7">
        <v>43274.204960000003</v>
      </c>
      <c r="O37" s="7">
        <v>38086</v>
      </c>
      <c r="P37" s="7">
        <v>30500</v>
      </c>
      <c r="Q37" s="13">
        <f t="shared" si="10"/>
        <v>583788.39344000001</v>
      </c>
      <c r="R37" s="15">
        <f t="shared" si="11"/>
        <v>-0.39344000001437962</v>
      </c>
    </row>
    <row r="38" spans="2:18" x14ac:dyDescent="0.2">
      <c r="B38" s="8" t="s">
        <v>29</v>
      </c>
      <c r="C38" s="9">
        <f>C35-C36-C37</f>
        <v>95094</v>
      </c>
      <c r="D38" s="9"/>
      <c r="E38" s="9">
        <f t="shared" ref="E38:Q38" si="12">E35-E36-E37</f>
        <v>-27785.814560000003</v>
      </c>
      <c r="F38" s="9">
        <f t="shared" si="12"/>
        <v>-15250.32</v>
      </c>
      <c r="G38" s="9">
        <f t="shared" si="12"/>
        <v>44412.800000000003</v>
      </c>
      <c r="H38" s="9">
        <f t="shared" si="12"/>
        <v>39393.283599999988</v>
      </c>
      <c r="I38" s="9">
        <f t="shared" si="12"/>
        <v>45756.167999999991</v>
      </c>
      <c r="J38" s="9">
        <f t="shared" si="12"/>
        <v>51151.038559999986</v>
      </c>
      <c r="K38" s="9">
        <f t="shared" si="12"/>
        <v>16599.674639999997</v>
      </c>
      <c r="L38" s="9">
        <f t="shared" si="12"/>
        <v>25708.753039999996</v>
      </c>
      <c r="M38" s="9">
        <f t="shared" si="12"/>
        <v>-21117.911760000003</v>
      </c>
      <c r="N38" s="9">
        <f t="shared" si="12"/>
        <v>-6023.9849600000016</v>
      </c>
      <c r="O38" s="9">
        <f t="shared" si="12"/>
        <v>-36156.61</v>
      </c>
      <c r="P38" s="9">
        <f t="shared" si="12"/>
        <v>-21592.449999999997</v>
      </c>
      <c r="Q38" s="9">
        <f t="shared" si="12"/>
        <v>95094.626560000004</v>
      </c>
      <c r="R38" s="15">
        <f t="shared" si="11"/>
        <v>-0.62656000000424683</v>
      </c>
    </row>
    <row r="39" spans="2:18" x14ac:dyDescent="0.2">
      <c r="B39" t="s">
        <v>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2:18" x14ac:dyDescent="0.2">
      <c r="B40" s="4" t="s">
        <v>30</v>
      </c>
      <c r="C40" s="7">
        <v>749719</v>
      </c>
      <c r="D40" s="7"/>
      <c r="E40" s="7">
        <v>60100</v>
      </c>
      <c r="F40" s="7">
        <v>60100</v>
      </c>
      <c r="G40" s="7">
        <v>60100</v>
      </c>
      <c r="H40" s="7">
        <v>60100</v>
      </c>
      <c r="I40" s="7">
        <v>60100</v>
      </c>
      <c r="J40" s="7">
        <v>60100</v>
      </c>
      <c r="K40" s="7">
        <v>60100</v>
      </c>
      <c r="L40" s="7">
        <v>59452</v>
      </c>
      <c r="M40" s="7">
        <v>58200</v>
      </c>
      <c r="N40" s="7">
        <v>58200</v>
      </c>
      <c r="O40" s="7">
        <v>58200</v>
      </c>
      <c r="P40" s="7">
        <v>94967</v>
      </c>
      <c r="Q40" s="13">
        <f t="shared" ref="Q40:Q41" si="13">SUM(E40:P40)</f>
        <v>749719</v>
      </c>
      <c r="R40" s="15">
        <f t="shared" ref="R40:R41" si="14">C40-Q40</f>
        <v>0</v>
      </c>
    </row>
    <row r="41" spans="2:18" x14ac:dyDescent="0.2">
      <c r="B41" s="4" t="s">
        <v>31</v>
      </c>
      <c r="C41" s="7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13">
        <f t="shared" si="13"/>
        <v>0</v>
      </c>
      <c r="R41" s="15">
        <f t="shared" si="14"/>
        <v>0</v>
      </c>
    </row>
    <row r="42" spans="2:18" x14ac:dyDescent="0.2">
      <c r="B42" t="s">
        <v>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2:18" x14ac:dyDescent="0.2">
      <c r="B43" s="6" t="s">
        <v>32</v>
      </c>
      <c r="C43" s="7">
        <f t="shared" ref="C43:Q43" si="15">C15-C26-C32+C38-C40-C41</f>
        <v>998419</v>
      </c>
      <c r="D43" s="7"/>
      <c r="E43" s="15">
        <f>E15-E26-E32+E38-E40-E41</f>
        <v>118307.46208</v>
      </c>
      <c r="F43" s="15">
        <f>F15-F26-F32+F38-F40-F41</f>
        <v>-87527.97735999999</v>
      </c>
      <c r="G43" s="7">
        <f t="shared" si="15"/>
        <v>-48409.411280000044</v>
      </c>
      <c r="H43" s="7">
        <f t="shared" si="15"/>
        <v>421346.37600000005</v>
      </c>
      <c r="I43" s="7">
        <f t="shared" si="15"/>
        <v>746334.65511999978</v>
      </c>
      <c r="J43" s="7">
        <f t="shared" si="15"/>
        <v>796069.36882666638</v>
      </c>
      <c r="K43" s="7">
        <f t="shared" si="15"/>
        <v>-153997.73639999999</v>
      </c>
      <c r="L43" s="7">
        <f t="shared" si="15"/>
        <v>-2485.5059199999523</v>
      </c>
      <c r="M43" s="7">
        <f t="shared" si="15"/>
        <v>292399.27751999989</v>
      </c>
      <c r="N43" s="7">
        <f t="shared" si="15"/>
        <v>-177570.32392000014</v>
      </c>
      <c r="O43" s="7">
        <f t="shared" si="15"/>
        <v>-739918.32</v>
      </c>
      <c r="P43" s="7">
        <f t="shared" si="15"/>
        <v>-166129.95000000004</v>
      </c>
      <c r="Q43" s="7">
        <f t="shared" si="15"/>
        <v>998417.91466666688</v>
      </c>
      <c r="R43" s="15">
        <f t="shared" ref="R43" si="16">C43-Q43</f>
        <v>1.0853333331178874</v>
      </c>
    </row>
    <row r="44" spans="2:18" x14ac:dyDescent="0.2">
      <c r="B44" t="s">
        <v>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8" x14ac:dyDescent="0.2">
      <c r="B45" s="6" t="s">
        <v>36</v>
      </c>
      <c r="C45" s="7">
        <v>-209618</v>
      </c>
      <c r="D45" s="7"/>
      <c r="E45" s="7">
        <v>-16122.06</v>
      </c>
      <c r="F45" s="7">
        <f>-18393.54+402</f>
        <v>-17991.54</v>
      </c>
      <c r="G45" s="7">
        <f>-14467.99-402</f>
        <v>-14869.99</v>
      </c>
      <c r="H45" s="7">
        <v>-18182.55</v>
      </c>
      <c r="I45" s="7">
        <v>-15901.85</v>
      </c>
      <c r="J45" s="7">
        <v>-19300.259999999998</v>
      </c>
      <c r="K45" s="7">
        <v>-20955.93</v>
      </c>
      <c r="L45" s="7">
        <v>-17035.59</v>
      </c>
      <c r="M45" s="7">
        <v>-17080.21</v>
      </c>
      <c r="N45" s="7">
        <v>-17003.5</v>
      </c>
      <c r="O45" s="7">
        <v>-16489.2</v>
      </c>
      <c r="P45" s="7">
        <v>-18685.39</v>
      </c>
      <c r="Q45" s="13">
        <f>SUM(E45:P45)</f>
        <v>-209618.07</v>
      </c>
      <c r="R45" s="15">
        <f t="shared" ref="R45" si="17">C45-Q45</f>
        <v>7.0000000006984919E-2</v>
      </c>
    </row>
    <row r="46" spans="2:18" x14ac:dyDescent="0.2">
      <c r="B46" t="s">
        <v>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R46" s="15"/>
    </row>
    <row r="47" spans="2:18" ht="16" thickBot="1" x14ac:dyDescent="0.25">
      <c r="B47" s="10" t="s">
        <v>37</v>
      </c>
      <c r="C47" s="11">
        <f>C43+C45</f>
        <v>788801</v>
      </c>
      <c r="D47" s="11"/>
      <c r="E47" s="11">
        <f>E43+E45</f>
        <v>102185.40208</v>
      </c>
      <c r="F47" s="11">
        <f t="shared" ref="F47:N47" si="18">F43+F45</f>
        <v>-105519.51736</v>
      </c>
      <c r="G47" s="11">
        <f t="shared" si="18"/>
        <v>-63279.401280000042</v>
      </c>
      <c r="H47" s="11">
        <f t="shared" si="18"/>
        <v>403163.82600000006</v>
      </c>
      <c r="I47" s="11">
        <f t="shared" si="18"/>
        <v>730432.8051199998</v>
      </c>
      <c r="J47" s="11">
        <f t="shared" si="18"/>
        <v>776769.10882666637</v>
      </c>
      <c r="K47" s="11">
        <f t="shared" si="18"/>
        <v>-174953.66639999999</v>
      </c>
      <c r="L47" s="11">
        <f t="shared" si="18"/>
        <v>-19521.095919999952</v>
      </c>
      <c r="M47" s="11">
        <f t="shared" si="18"/>
        <v>275319.06751999987</v>
      </c>
      <c r="N47" s="11">
        <f t="shared" si="18"/>
        <v>-194573.82392000014</v>
      </c>
      <c r="O47" s="11">
        <f t="shared" ref="O47:P47" si="19">O43+O45</f>
        <v>-756407.5199999999</v>
      </c>
      <c r="P47" s="11">
        <f t="shared" si="19"/>
        <v>-184815.34000000003</v>
      </c>
      <c r="Q47" s="11">
        <f>Q43+Q45</f>
        <v>788799.84466666682</v>
      </c>
      <c r="R47" s="15">
        <f t="shared" ref="R47" si="20">C47-Q47</f>
        <v>1.15533333318308</v>
      </c>
    </row>
    <row r="48" spans="2:18" ht="16" thickTop="1" x14ac:dyDescent="0.2">
      <c r="B48" s="5"/>
      <c r="C48" s="5"/>
      <c r="D48" s="5"/>
    </row>
  </sheetData>
  <mergeCells count="1">
    <mergeCell ref="E2:P2"/>
  </mergeCells>
  <phoneticPr fontId="9" type="noConversion"/>
  <pageMargins left="0.7" right="0.7" top="0.75" bottom="0.75" header="0.3" footer="0.3"/>
  <pageSetup fitToHeight="100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3FEE-CD45-4903-A23F-67709DC7D594}">
  <sheetPr>
    <pageSetUpPr fitToPage="1"/>
  </sheetPr>
  <dimension ref="A1:O55"/>
  <sheetViews>
    <sheetView zoomScale="80" zoomScaleNormal="80" workbookViewId="0">
      <pane xSplit="1" ySplit="3" topLeftCell="B4" activePane="bottomRight" state="frozen"/>
      <selection pane="topRight"/>
      <selection pane="bottomLeft"/>
      <selection pane="bottomRight" activeCell="B46" sqref="B46:B47"/>
    </sheetView>
  </sheetViews>
  <sheetFormatPr baseColWidth="10" defaultColWidth="12.1640625" defaultRowHeight="15" customHeight="1" x14ac:dyDescent="0.2"/>
  <cols>
    <col min="1" max="1" width="32.83203125" style="21" bestFit="1" customWidth="1"/>
    <col min="2" max="2" width="14.33203125" style="22" bestFit="1" customWidth="1"/>
    <col min="3" max="14" width="12.1640625" style="21"/>
    <col min="15" max="15" width="21.83203125" style="21" bestFit="1" customWidth="1"/>
    <col min="16" max="16384" width="12.1640625" style="21"/>
  </cols>
  <sheetData>
    <row r="1" spans="1:15" ht="15" customHeight="1" x14ac:dyDescent="0.2">
      <c r="A1" s="19" t="s">
        <v>0</v>
      </c>
      <c r="B1" s="20" t="s">
        <v>0</v>
      </c>
    </row>
    <row r="2" spans="1:15" ht="15" customHeight="1" x14ac:dyDescent="0.2">
      <c r="A2" s="19" t="s">
        <v>0</v>
      </c>
      <c r="B2" s="23" t="s">
        <v>56</v>
      </c>
      <c r="C2" s="63" t="s">
        <v>61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ht="15" customHeight="1" x14ac:dyDescent="0.2">
      <c r="A3" s="24" t="s">
        <v>0</v>
      </c>
      <c r="B3" s="25" t="s">
        <v>38</v>
      </c>
      <c r="C3" s="25" t="s">
        <v>40</v>
      </c>
      <c r="D3" s="25" t="s">
        <v>41</v>
      </c>
      <c r="E3" s="25" t="s">
        <v>42</v>
      </c>
      <c r="F3" s="25" t="s">
        <v>43</v>
      </c>
      <c r="G3" s="25" t="s">
        <v>44</v>
      </c>
      <c r="H3" s="25" t="s">
        <v>45</v>
      </c>
      <c r="I3" s="25" t="s">
        <v>46</v>
      </c>
      <c r="J3" s="25" t="s">
        <v>47</v>
      </c>
      <c r="K3" s="25" t="s">
        <v>48</v>
      </c>
      <c r="L3" s="25" t="s">
        <v>49</v>
      </c>
      <c r="M3" s="25" t="s">
        <v>50</v>
      </c>
      <c r="N3" s="25" t="s">
        <v>51</v>
      </c>
      <c r="O3" s="25" t="s">
        <v>53</v>
      </c>
    </row>
    <row r="4" spans="1:15" ht="15" customHeight="1" x14ac:dyDescent="0.2">
      <c r="A4" s="21" t="s">
        <v>0</v>
      </c>
    </row>
    <row r="5" spans="1:15" ht="15" customHeight="1" x14ac:dyDescent="0.2">
      <c r="A5" s="26" t="s">
        <v>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5" customHeight="1" x14ac:dyDescent="0.2">
      <c r="A6" s="21" t="s">
        <v>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5" customHeight="1" x14ac:dyDescent="0.2">
      <c r="A7" s="27" t="s">
        <v>3</v>
      </c>
      <c r="B7" s="22">
        <v>4600000</v>
      </c>
      <c r="C7" s="22">
        <v>900000</v>
      </c>
      <c r="D7" s="22">
        <v>310000</v>
      </c>
      <c r="E7" s="22">
        <v>320000</v>
      </c>
      <c r="F7" s="22">
        <v>350000</v>
      </c>
      <c r="G7" s="22">
        <v>350000</v>
      </c>
      <c r="H7" s="22">
        <v>350000</v>
      </c>
      <c r="I7" s="22">
        <v>350000</v>
      </c>
      <c r="J7" s="22">
        <v>350000</v>
      </c>
      <c r="K7" s="22">
        <v>350000</v>
      </c>
      <c r="L7" s="22">
        <v>330000</v>
      </c>
      <c r="M7" s="22">
        <v>300000</v>
      </c>
      <c r="N7" s="22">
        <v>340000</v>
      </c>
      <c r="O7" s="22">
        <f t="shared" ref="O7:O14" si="0">SUM(C7:N7)-B7</f>
        <v>0</v>
      </c>
    </row>
    <row r="8" spans="1:15" ht="15" customHeight="1" x14ac:dyDescent="0.2">
      <c r="A8" s="27" t="s">
        <v>4</v>
      </c>
      <c r="B8" s="22">
        <v>1000000</v>
      </c>
      <c r="C8" s="22">
        <v>30000</v>
      </c>
      <c r="D8" s="22">
        <v>20000</v>
      </c>
      <c r="E8" s="22">
        <v>20000</v>
      </c>
      <c r="F8" s="22">
        <v>80000</v>
      </c>
      <c r="G8" s="22">
        <v>220000</v>
      </c>
      <c r="H8" s="22">
        <v>90000</v>
      </c>
      <c r="I8" s="22">
        <v>200000</v>
      </c>
      <c r="J8" s="22">
        <v>100000</v>
      </c>
      <c r="K8" s="22">
        <v>140000</v>
      </c>
      <c r="L8" s="22">
        <v>50000</v>
      </c>
      <c r="M8" s="22">
        <v>50000</v>
      </c>
      <c r="N8" s="22"/>
      <c r="O8" s="22">
        <f t="shared" si="0"/>
        <v>0</v>
      </c>
    </row>
    <row r="9" spans="1:15" ht="15" customHeight="1" x14ac:dyDescent="0.2">
      <c r="A9" s="27" t="s">
        <v>5</v>
      </c>
      <c r="B9" s="22">
        <v>1100000</v>
      </c>
      <c r="C9" s="22">
        <v>10000</v>
      </c>
      <c r="D9" s="22">
        <v>50000</v>
      </c>
      <c r="E9" s="22">
        <v>10000</v>
      </c>
      <c r="F9" s="22">
        <v>30000</v>
      </c>
      <c r="G9" s="22">
        <v>30000</v>
      </c>
      <c r="H9" s="22">
        <v>100000</v>
      </c>
      <c r="I9" s="22">
        <v>40000</v>
      </c>
      <c r="J9" s="22">
        <v>10000</v>
      </c>
      <c r="K9" s="22">
        <v>10000</v>
      </c>
      <c r="L9" s="22">
        <v>100000</v>
      </c>
      <c r="M9" s="22">
        <v>10000</v>
      </c>
      <c r="N9" s="22">
        <v>700000</v>
      </c>
      <c r="O9" s="22">
        <f t="shared" si="0"/>
        <v>0</v>
      </c>
    </row>
    <row r="10" spans="1:15" ht="15" customHeight="1" x14ac:dyDescent="0.2">
      <c r="A10" s="27" t="s">
        <v>6</v>
      </c>
      <c r="B10" s="22">
        <v>850000</v>
      </c>
      <c r="C10" s="22"/>
      <c r="D10" s="22"/>
      <c r="E10" s="22">
        <v>50000</v>
      </c>
      <c r="F10" s="22">
        <v>50000</v>
      </c>
      <c r="G10" s="22">
        <v>210000</v>
      </c>
      <c r="H10" s="22">
        <v>60000</v>
      </c>
      <c r="I10" s="22">
        <v>155000</v>
      </c>
      <c r="J10" s="22">
        <v>80000</v>
      </c>
      <c r="K10" s="22">
        <v>100000</v>
      </c>
      <c r="L10" s="22">
        <v>100000</v>
      </c>
      <c r="M10" s="22">
        <v>40000</v>
      </c>
      <c r="N10" s="22">
        <v>5000</v>
      </c>
      <c r="O10" s="22">
        <f t="shared" si="0"/>
        <v>0</v>
      </c>
    </row>
    <row r="11" spans="1:15" ht="15" customHeight="1" x14ac:dyDescent="0.2">
      <c r="A11" s="27" t="s">
        <v>7</v>
      </c>
      <c r="B11" s="22">
        <v>1850000</v>
      </c>
      <c r="C11" s="22"/>
      <c r="D11" s="22"/>
      <c r="E11" s="22">
        <v>10000</v>
      </c>
      <c r="F11" s="22">
        <v>400000</v>
      </c>
      <c r="G11" s="22">
        <v>500000</v>
      </c>
      <c r="H11" s="22">
        <v>200000</v>
      </c>
      <c r="I11" s="22">
        <v>250000</v>
      </c>
      <c r="J11" s="22">
        <v>220000</v>
      </c>
      <c r="K11" s="22">
        <v>170000</v>
      </c>
      <c r="L11" s="22">
        <v>100000</v>
      </c>
      <c r="M11" s="22"/>
      <c r="N11" s="22"/>
      <c r="O11" s="22">
        <f t="shared" si="0"/>
        <v>0</v>
      </c>
    </row>
    <row r="12" spans="1:15" ht="15" customHeight="1" x14ac:dyDescent="0.2">
      <c r="A12" s="27" t="s">
        <v>8</v>
      </c>
      <c r="B12" s="22">
        <v>3900000</v>
      </c>
      <c r="C12" s="22"/>
      <c r="D12" s="22">
        <v>20000</v>
      </c>
      <c r="E12" s="22">
        <v>150000</v>
      </c>
      <c r="F12" s="22">
        <v>500000</v>
      </c>
      <c r="G12" s="22">
        <v>550000</v>
      </c>
      <c r="H12" s="22">
        <v>580000</v>
      </c>
      <c r="I12" s="22">
        <v>500000</v>
      </c>
      <c r="J12" s="22">
        <v>600000</v>
      </c>
      <c r="K12" s="22">
        <v>300000</v>
      </c>
      <c r="L12" s="22">
        <v>250000</v>
      </c>
      <c r="M12" s="22">
        <v>250000</v>
      </c>
      <c r="N12" s="22">
        <v>200000</v>
      </c>
      <c r="O12" s="22">
        <f t="shared" si="0"/>
        <v>0</v>
      </c>
    </row>
    <row r="13" spans="1:15" ht="15" customHeight="1" x14ac:dyDescent="0.2">
      <c r="A13" s="28" t="s">
        <v>55</v>
      </c>
      <c r="B13" s="22">
        <v>230000</v>
      </c>
      <c r="C13" s="22"/>
      <c r="D13" s="22"/>
      <c r="E13" s="22"/>
      <c r="F13" s="22">
        <v>30000</v>
      </c>
      <c r="G13" s="22">
        <v>50000</v>
      </c>
      <c r="H13" s="22">
        <v>50000</v>
      </c>
      <c r="I13" s="22"/>
      <c r="J13" s="22">
        <v>25000</v>
      </c>
      <c r="K13" s="22">
        <v>25000</v>
      </c>
      <c r="L13" s="22">
        <v>50000</v>
      </c>
      <c r="M13" s="22"/>
      <c r="N13" s="22"/>
      <c r="O13" s="22">
        <f t="shared" si="0"/>
        <v>0</v>
      </c>
    </row>
    <row r="14" spans="1:15" ht="15" customHeight="1" x14ac:dyDescent="0.2">
      <c r="A14" s="27" t="s">
        <v>9</v>
      </c>
      <c r="B14" s="22">
        <v>470000</v>
      </c>
      <c r="C14" s="22"/>
      <c r="D14" s="22">
        <v>10000</v>
      </c>
      <c r="E14" s="22">
        <v>30000</v>
      </c>
      <c r="F14" s="22">
        <v>115000</v>
      </c>
      <c r="G14" s="22">
        <v>50000</v>
      </c>
      <c r="H14" s="22">
        <v>95000</v>
      </c>
      <c r="I14" s="22">
        <v>50000</v>
      </c>
      <c r="J14" s="22">
        <v>30000</v>
      </c>
      <c r="K14" s="22">
        <v>10000</v>
      </c>
      <c r="L14" s="22">
        <v>50000</v>
      </c>
      <c r="M14" s="22">
        <v>20000</v>
      </c>
      <c r="N14" s="22">
        <v>10000</v>
      </c>
      <c r="O14" s="22">
        <f t="shared" si="0"/>
        <v>0</v>
      </c>
    </row>
    <row r="15" spans="1:15" ht="15" customHeight="1" x14ac:dyDescent="0.2">
      <c r="A15" s="29" t="s">
        <v>10</v>
      </c>
      <c r="B15" s="30">
        <f t="shared" ref="B15:O15" si="1">SUM(B7:B14)</f>
        <v>14000000</v>
      </c>
      <c r="C15" s="30">
        <f t="shared" si="1"/>
        <v>940000</v>
      </c>
      <c r="D15" s="30">
        <f t="shared" si="1"/>
        <v>410000</v>
      </c>
      <c r="E15" s="30">
        <f t="shared" si="1"/>
        <v>590000</v>
      </c>
      <c r="F15" s="30">
        <f t="shared" si="1"/>
        <v>1555000</v>
      </c>
      <c r="G15" s="30">
        <f t="shared" si="1"/>
        <v>1960000</v>
      </c>
      <c r="H15" s="30">
        <f t="shared" si="1"/>
        <v>1525000</v>
      </c>
      <c r="I15" s="30">
        <f t="shared" si="1"/>
        <v>1545000</v>
      </c>
      <c r="J15" s="30">
        <f t="shared" si="1"/>
        <v>1415000</v>
      </c>
      <c r="K15" s="30">
        <f t="shared" si="1"/>
        <v>1105000</v>
      </c>
      <c r="L15" s="30">
        <f t="shared" si="1"/>
        <v>1030000</v>
      </c>
      <c r="M15" s="30">
        <f t="shared" si="1"/>
        <v>670000</v>
      </c>
      <c r="N15" s="30">
        <f t="shared" si="1"/>
        <v>1255000</v>
      </c>
      <c r="O15" s="30">
        <f t="shared" si="1"/>
        <v>0</v>
      </c>
    </row>
    <row r="16" spans="1:15" ht="15" customHeight="1" x14ac:dyDescent="0.2">
      <c r="A16" s="21" t="s">
        <v>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>
        <f t="shared" ref="O16:O25" si="2">SUM(C16:N16)-B16</f>
        <v>0</v>
      </c>
    </row>
    <row r="17" spans="1:15" ht="15" customHeight="1" x14ac:dyDescent="0.2">
      <c r="A17" s="26" t="s">
        <v>11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>
        <f t="shared" si="2"/>
        <v>0</v>
      </c>
    </row>
    <row r="18" spans="1:15" ht="15" customHeight="1" x14ac:dyDescent="0.2">
      <c r="A18" s="27" t="s">
        <v>12</v>
      </c>
      <c r="B18" s="22">
        <v>3100000</v>
      </c>
      <c r="C18" s="22"/>
      <c r="D18" s="22">
        <v>15900</v>
      </c>
      <c r="E18" s="22">
        <v>119250</v>
      </c>
      <c r="F18" s="22">
        <v>397500</v>
      </c>
      <c r="G18" s="22">
        <v>437000</v>
      </c>
      <c r="H18" s="22">
        <v>461100</v>
      </c>
      <c r="I18" s="22">
        <v>397500</v>
      </c>
      <c r="J18" s="22">
        <v>477000</v>
      </c>
      <c r="K18" s="22">
        <v>238500</v>
      </c>
      <c r="L18" s="22">
        <v>198500</v>
      </c>
      <c r="M18" s="22">
        <v>198750</v>
      </c>
      <c r="N18" s="22">
        <v>159000</v>
      </c>
      <c r="O18" s="22">
        <f t="shared" si="2"/>
        <v>0</v>
      </c>
    </row>
    <row r="19" spans="1:15" ht="15" customHeight="1" x14ac:dyDescent="0.2">
      <c r="A19" s="27" t="s">
        <v>55</v>
      </c>
      <c r="B19" s="22">
        <v>440000</v>
      </c>
      <c r="C19" s="22"/>
      <c r="D19" s="22"/>
      <c r="E19" s="22"/>
      <c r="F19" s="22">
        <v>100000</v>
      </c>
      <c r="G19" s="22">
        <v>100000</v>
      </c>
      <c r="H19" s="22">
        <v>50000</v>
      </c>
      <c r="I19" s="22">
        <v>50000</v>
      </c>
      <c r="J19" s="22">
        <v>100000</v>
      </c>
      <c r="K19" s="22">
        <v>40000</v>
      </c>
      <c r="L19" s="22"/>
      <c r="M19" s="22"/>
      <c r="N19" s="22"/>
      <c r="O19" s="22">
        <f t="shared" si="2"/>
        <v>0</v>
      </c>
    </row>
    <row r="20" spans="1:15" ht="15" customHeight="1" x14ac:dyDescent="0.2">
      <c r="A20" s="27" t="s">
        <v>58</v>
      </c>
      <c r="B20" s="22">
        <v>2100000</v>
      </c>
      <c r="C20" s="22">
        <v>160000</v>
      </c>
      <c r="D20" s="22">
        <v>180000</v>
      </c>
      <c r="E20" s="22">
        <v>180000</v>
      </c>
      <c r="F20" s="22">
        <v>180000</v>
      </c>
      <c r="G20" s="22">
        <v>180000</v>
      </c>
      <c r="H20" s="22">
        <v>180000</v>
      </c>
      <c r="I20" s="22">
        <v>180000</v>
      </c>
      <c r="J20" s="22">
        <v>180000</v>
      </c>
      <c r="K20" s="22">
        <v>180000</v>
      </c>
      <c r="L20" s="22">
        <v>180000</v>
      </c>
      <c r="M20" s="22">
        <v>170000</v>
      </c>
      <c r="N20" s="22">
        <v>150000</v>
      </c>
      <c r="O20" s="22">
        <f t="shared" si="2"/>
        <v>0</v>
      </c>
    </row>
    <row r="21" spans="1:15" ht="15" customHeight="1" x14ac:dyDescent="0.2">
      <c r="A21" s="27" t="s">
        <v>14</v>
      </c>
      <c r="B21" s="22">
        <v>700000</v>
      </c>
      <c r="C21" s="22">
        <v>50000</v>
      </c>
      <c r="D21" s="22">
        <v>80000</v>
      </c>
      <c r="E21" s="22">
        <v>55000</v>
      </c>
      <c r="F21" s="22">
        <v>60000</v>
      </c>
      <c r="G21" s="22">
        <v>75000</v>
      </c>
      <c r="H21" s="22">
        <v>55000</v>
      </c>
      <c r="I21" s="22">
        <v>25000</v>
      </c>
      <c r="J21" s="22">
        <v>70000</v>
      </c>
      <c r="K21" s="22">
        <v>65000</v>
      </c>
      <c r="L21" s="22">
        <v>65000</v>
      </c>
      <c r="M21" s="22">
        <v>50000</v>
      </c>
      <c r="N21" s="22">
        <v>50000</v>
      </c>
      <c r="O21" s="22">
        <f t="shared" si="2"/>
        <v>0</v>
      </c>
    </row>
    <row r="22" spans="1:15" ht="15" customHeight="1" x14ac:dyDescent="0.2">
      <c r="A22" s="27" t="s">
        <v>15</v>
      </c>
      <c r="B22" s="22">
        <v>140000</v>
      </c>
      <c r="C22" s="22">
        <v>12000</v>
      </c>
      <c r="D22" s="22">
        <v>12000</v>
      </c>
      <c r="E22" s="22">
        <v>12000</v>
      </c>
      <c r="F22" s="22">
        <v>12000</v>
      </c>
      <c r="G22" s="22">
        <v>12000</v>
      </c>
      <c r="H22" s="22">
        <v>12000</v>
      </c>
      <c r="I22" s="22">
        <v>12000</v>
      </c>
      <c r="J22" s="22">
        <v>12000</v>
      </c>
      <c r="K22" s="22">
        <v>12000</v>
      </c>
      <c r="L22" s="22">
        <v>12000</v>
      </c>
      <c r="M22" s="22">
        <v>12000</v>
      </c>
      <c r="N22" s="22">
        <v>8000</v>
      </c>
      <c r="O22" s="22">
        <f t="shared" si="2"/>
        <v>0</v>
      </c>
    </row>
    <row r="23" spans="1:15" ht="15" customHeight="1" x14ac:dyDescent="0.2">
      <c r="A23" s="27" t="s">
        <v>16</v>
      </c>
      <c r="B23" s="22">
        <v>400000</v>
      </c>
      <c r="C23" s="22">
        <v>15000</v>
      </c>
      <c r="D23" s="22">
        <v>15000</v>
      </c>
      <c r="E23" s="22">
        <v>15000</v>
      </c>
      <c r="F23" s="22">
        <v>15000</v>
      </c>
      <c r="G23" s="22">
        <v>60000</v>
      </c>
      <c r="H23" s="22">
        <v>15000</v>
      </c>
      <c r="I23" s="22">
        <v>160000</v>
      </c>
      <c r="J23" s="22">
        <v>10000</v>
      </c>
      <c r="K23" s="22">
        <v>50000</v>
      </c>
      <c r="L23" s="22">
        <v>25000</v>
      </c>
      <c r="M23" s="22">
        <v>10000</v>
      </c>
      <c r="N23" s="22">
        <v>10000</v>
      </c>
      <c r="O23" s="22">
        <f t="shared" si="2"/>
        <v>0</v>
      </c>
    </row>
    <row r="24" spans="1:15" ht="15" customHeight="1" x14ac:dyDescent="0.2">
      <c r="A24" s="27" t="s">
        <v>17</v>
      </c>
      <c r="B24" s="22">
        <v>400000</v>
      </c>
      <c r="C24" s="22">
        <v>10000</v>
      </c>
      <c r="D24" s="22">
        <v>10000</v>
      </c>
      <c r="E24" s="22">
        <v>10000</v>
      </c>
      <c r="F24" s="22">
        <v>20000</v>
      </c>
      <c r="G24" s="22">
        <v>20000</v>
      </c>
      <c r="H24" s="22">
        <v>10000</v>
      </c>
      <c r="I24" s="22">
        <v>10000</v>
      </c>
      <c r="J24" s="22">
        <v>200000</v>
      </c>
      <c r="K24" s="22">
        <v>10000</v>
      </c>
      <c r="L24" s="22"/>
      <c r="M24" s="22"/>
      <c r="N24" s="22">
        <v>100000</v>
      </c>
      <c r="O24" s="22">
        <f t="shared" si="2"/>
        <v>0</v>
      </c>
    </row>
    <row r="25" spans="1:15" ht="15" customHeight="1" x14ac:dyDescent="0.2">
      <c r="A25" s="27" t="s">
        <v>18</v>
      </c>
      <c r="B25" s="22">
        <v>1560000</v>
      </c>
      <c r="C25" s="22">
        <v>60000</v>
      </c>
      <c r="D25" s="22">
        <v>110000</v>
      </c>
      <c r="E25" s="22">
        <v>150000</v>
      </c>
      <c r="F25" s="22">
        <v>180000</v>
      </c>
      <c r="G25" s="22">
        <v>200000</v>
      </c>
      <c r="H25" s="22">
        <v>150000</v>
      </c>
      <c r="I25" s="22">
        <v>200000</v>
      </c>
      <c r="J25" s="22">
        <v>100000</v>
      </c>
      <c r="K25" s="22">
        <v>100000</v>
      </c>
      <c r="L25" s="22">
        <v>110000</v>
      </c>
      <c r="M25" s="22">
        <v>100000</v>
      </c>
      <c r="N25" s="22">
        <v>100000</v>
      </c>
      <c r="O25" s="22">
        <f t="shared" si="2"/>
        <v>0</v>
      </c>
    </row>
    <row r="26" spans="1:15" ht="15" customHeight="1" x14ac:dyDescent="0.2">
      <c r="A26" s="29" t="s">
        <v>19</v>
      </c>
      <c r="B26" s="30">
        <f t="shared" ref="B26:O26" si="3">SUM(B18:B25)</f>
        <v>8840000</v>
      </c>
      <c r="C26" s="30">
        <f t="shared" si="3"/>
        <v>307000</v>
      </c>
      <c r="D26" s="30">
        <f t="shared" si="3"/>
        <v>422900</v>
      </c>
      <c r="E26" s="30">
        <f t="shared" si="3"/>
        <v>541250</v>
      </c>
      <c r="F26" s="30">
        <f t="shared" si="3"/>
        <v>964500</v>
      </c>
      <c r="G26" s="30">
        <f t="shared" si="3"/>
        <v>1084000</v>
      </c>
      <c r="H26" s="30">
        <f t="shared" si="3"/>
        <v>933100</v>
      </c>
      <c r="I26" s="30">
        <f t="shared" si="3"/>
        <v>1034500</v>
      </c>
      <c r="J26" s="30">
        <f t="shared" si="3"/>
        <v>1149000</v>
      </c>
      <c r="K26" s="30">
        <f t="shared" si="3"/>
        <v>695500</v>
      </c>
      <c r="L26" s="30">
        <f t="shared" si="3"/>
        <v>590500</v>
      </c>
      <c r="M26" s="30">
        <f t="shared" si="3"/>
        <v>540750</v>
      </c>
      <c r="N26" s="30">
        <f t="shared" si="3"/>
        <v>577000</v>
      </c>
      <c r="O26" s="30">
        <f t="shared" si="3"/>
        <v>0</v>
      </c>
    </row>
    <row r="27" spans="1:15" ht="15" customHeight="1" x14ac:dyDescent="0.2">
      <c r="A27" s="21" t="s">
        <v>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15" customHeight="1" x14ac:dyDescent="0.2">
      <c r="A28" s="26" t="s">
        <v>20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15" customHeight="1" x14ac:dyDescent="0.2">
      <c r="A29" s="27" t="s">
        <v>58</v>
      </c>
      <c r="B29" s="22">
        <v>2100000</v>
      </c>
      <c r="C29" s="22">
        <v>100000</v>
      </c>
      <c r="D29" s="22">
        <v>130000</v>
      </c>
      <c r="E29" s="22">
        <v>170000</v>
      </c>
      <c r="F29" s="22">
        <v>200000</v>
      </c>
      <c r="G29" s="22">
        <v>200000</v>
      </c>
      <c r="H29" s="22">
        <v>100000</v>
      </c>
      <c r="I29" s="22">
        <v>300000</v>
      </c>
      <c r="J29" s="22">
        <v>200000</v>
      </c>
      <c r="K29" s="22">
        <v>200000</v>
      </c>
      <c r="L29" s="22">
        <v>200000</v>
      </c>
      <c r="M29" s="22">
        <v>200000</v>
      </c>
      <c r="N29" s="22">
        <v>100000</v>
      </c>
      <c r="O29" s="22">
        <f>SUM(C29:N29)-B29</f>
        <v>0</v>
      </c>
    </row>
    <row r="30" spans="1:15" ht="15" customHeight="1" x14ac:dyDescent="0.2">
      <c r="A30" s="27" t="s">
        <v>22</v>
      </c>
      <c r="B30" s="22">
        <v>600000</v>
      </c>
      <c r="C30" s="22">
        <v>30000</v>
      </c>
      <c r="D30" s="22">
        <v>50000</v>
      </c>
      <c r="E30" s="22">
        <v>50000</v>
      </c>
      <c r="F30" s="22">
        <v>90000</v>
      </c>
      <c r="G30" s="22">
        <v>100000</v>
      </c>
      <c r="H30" s="22">
        <v>100000</v>
      </c>
      <c r="I30" s="22">
        <v>50000</v>
      </c>
      <c r="J30" s="22">
        <v>30000</v>
      </c>
      <c r="K30" s="22">
        <v>20000</v>
      </c>
      <c r="L30" s="22">
        <v>20000</v>
      </c>
      <c r="M30" s="22">
        <v>30000</v>
      </c>
      <c r="N30" s="22">
        <v>30000</v>
      </c>
      <c r="O30" s="22">
        <f>SUM(C30:N30)-B30</f>
        <v>0</v>
      </c>
    </row>
    <row r="31" spans="1:15" x14ac:dyDescent="0.2">
      <c r="A31" s="27" t="s">
        <v>23</v>
      </c>
      <c r="B31" s="22">
        <v>950000</v>
      </c>
      <c r="C31" s="22">
        <v>10000</v>
      </c>
      <c r="D31" s="22">
        <v>60000</v>
      </c>
      <c r="E31" s="22">
        <v>50000</v>
      </c>
      <c r="F31" s="22">
        <v>90000</v>
      </c>
      <c r="G31" s="22">
        <v>130000</v>
      </c>
      <c r="H31" s="22">
        <v>80000</v>
      </c>
      <c r="I31" s="22">
        <v>110000</v>
      </c>
      <c r="J31" s="22">
        <v>80000</v>
      </c>
      <c r="K31" s="22">
        <v>80000</v>
      </c>
      <c r="L31" s="22">
        <v>80000</v>
      </c>
      <c r="M31" s="22">
        <v>80000</v>
      </c>
      <c r="N31" s="22">
        <v>100000</v>
      </c>
      <c r="O31" s="22">
        <f>SUM(C31:N31)-B31</f>
        <v>0</v>
      </c>
    </row>
    <row r="32" spans="1:15" x14ac:dyDescent="0.2">
      <c r="A32" s="29" t="s">
        <v>24</v>
      </c>
      <c r="B32" s="30">
        <f t="shared" ref="B32:O32" si="4">SUM(B29:B31)</f>
        <v>3650000</v>
      </c>
      <c r="C32" s="30">
        <f t="shared" si="4"/>
        <v>140000</v>
      </c>
      <c r="D32" s="30">
        <f t="shared" si="4"/>
        <v>240000</v>
      </c>
      <c r="E32" s="30">
        <f t="shared" si="4"/>
        <v>270000</v>
      </c>
      <c r="F32" s="30">
        <f t="shared" si="4"/>
        <v>380000</v>
      </c>
      <c r="G32" s="30">
        <f t="shared" si="4"/>
        <v>430000</v>
      </c>
      <c r="H32" s="30">
        <f t="shared" si="4"/>
        <v>280000</v>
      </c>
      <c r="I32" s="30">
        <f t="shared" si="4"/>
        <v>460000</v>
      </c>
      <c r="J32" s="30">
        <f t="shared" si="4"/>
        <v>310000</v>
      </c>
      <c r="K32" s="30">
        <f t="shared" si="4"/>
        <v>300000</v>
      </c>
      <c r="L32" s="30">
        <f t="shared" si="4"/>
        <v>300000</v>
      </c>
      <c r="M32" s="30">
        <f t="shared" si="4"/>
        <v>310000</v>
      </c>
      <c r="N32" s="30">
        <f t="shared" si="4"/>
        <v>230000</v>
      </c>
      <c r="O32" s="30">
        <f t="shared" si="4"/>
        <v>0</v>
      </c>
    </row>
    <row r="33" spans="1:15" x14ac:dyDescent="0.2">
      <c r="A33" s="26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x14ac:dyDescent="0.2">
      <c r="A34" s="26" t="s">
        <v>25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x14ac:dyDescent="0.2">
      <c r="A35" s="28" t="s">
        <v>57</v>
      </c>
      <c r="B35" s="22">
        <v>1400000</v>
      </c>
      <c r="C35" s="22"/>
      <c r="D35" s="22"/>
      <c r="E35" s="22">
        <v>50000</v>
      </c>
      <c r="F35" s="22">
        <v>200000</v>
      </c>
      <c r="G35" s="22">
        <v>200000</v>
      </c>
      <c r="H35" s="22">
        <v>250000</v>
      </c>
      <c r="I35" s="22">
        <v>200000</v>
      </c>
      <c r="J35" s="22">
        <v>180000</v>
      </c>
      <c r="K35" s="22">
        <v>160000</v>
      </c>
      <c r="L35" s="22">
        <v>100000</v>
      </c>
      <c r="M35" s="22">
        <v>10000</v>
      </c>
      <c r="N35" s="22">
        <v>50000</v>
      </c>
      <c r="O35" s="22">
        <f>SUM(C35:N35)-B35</f>
        <v>0</v>
      </c>
    </row>
    <row r="36" spans="1:15" x14ac:dyDescent="0.2">
      <c r="A36" s="28" t="s">
        <v>59</v>
      </c>
      <c r="B36" s="22">
        <v>600000</v>
      </c>
      <c r="C36" s="22"/>
      <c r="D36" s="22">
        <v>20000</v>
      </c>
      <c r="E36" s="22">
        <v>30000</v>
      </c>
      <c r="F36" s="22">
        <v>80000</v>
      </c>
      <c r="G36" s="22">
        <v>130000</v>
      </c>
      <c r="H36" s="22">
        <v>100000</v>
      </c>
      <c r="I36" s="22">
        <v>60000</v>
      </c>
      <c r="J36" s="22">
        <v>90000</v>
      </c>
      <c r="K36" s="22">
        <v>60000</v>
      </c>
      <c r="L36" s="22">
        <v>20000</v>
      </c>
      <c r="M36" s="22">
        <v>5000</v>
      </c>
      <c r="N36" s="22">
        <v>5000</v>
      </c>
      <c r="O36" s="22">
        <f>SUM(C36:N36)-B36</f>
        <v>0</v>
      </c>
    </row>
    <row r="37" spans="1:15" x14ac:dyDescent="0.2">
      <c r="A37" s="28" t="s">
        <v>58</v>
      </c>
      <c r="B37" s="22">
        <v>450000</v>
      </c>
      <c r="C37" s="22">
        <v>25000</v>
      </c>
      <c r="D37" s="22">
        <v>25000</v>
      </c>
      <c r="E37" s="22">
        <v>40000</v>
      </c>
      <c r="F37" s="22">
        <v>50000</v>
      </c>
      <c r="G37" s="22">
        <v>60000</v>
      </c>
      <c r="H37" s="22">
        <v>50000</v>
      </c>
      <c r="I37" s="22">
        <v>40000</v>
      </c>
      <c r="J37" s="22">
        <v>50000</v>
      </c>
      <c r="K37" s="22">
        <v>40000</v>
      </c>
      <c r="L37" s="22">
        <v>40000</v>
      </c>
      <c r="M37" s="22">
        <v>15000</v>
      </c>
      <c r="N37" s="22">
        <v>15000</v>
      </c>
      <c r="O37" s="22">
        <f>SUM(C37:N37)-B37</f>
        <v>0</v>
      </c>
    </row>
    <row r="38" spans="1:15" x14ac:dyDescent="0.2">
      <c r="A38" s="36" t="s">
        <v>29</v>
      </c>
      <c r="B38" s="30">
        <f t="shared" ref="B38:O38" si="5">B35-B36-B37</f>
        <v>350000</v>
      </c>
      <c r="C38" s="30">
        <f t="shared" si="5"/>
        <v>-25000</v>
      </c>
      <c r="D38" s="30">
        <f t="shared" si="5"/>
        <v>-45000</v>
      </c>
      <c r="E38" s="30">
        <f t="shared" si="5"/>
        <v>-20000</v>
      </c>
      <c r="F38" s="30">
        <f t="shared" si="5"/>
        <v>70000</v>
      </c>
      <c r="G38" s="30">
        <f t="shared" si="5"/>
        <v>10000</v>
      </c>
      <c r="H38" s="30">
        <f t="shared" si="5"/>
        <v>100000</v>
      </c>
      <c r="I38" s="30">
        <f t="shared" si="5"/>
        <v>100000</v>
      </c>
      <c r="J38" s="30">
        <f t="shared" si="5"/>
        <v>40000</v>
      </c>
      <c r="K38" s="30">
        <f t="shared" si="5"/>
        <v>60000</v>
      </c>
      <c r="L38" s="30">
        <f t="shared" si="5"/>
        <v>40000</v>
      </c>
      <c r="M38" s="30">
        <f t="shared" si="5"/>
        <v>-10000</v>
      </c>
      <c r="N38" s="30">
        <f t="shared" si="5"/>
        <v>30000</v>
      </c>
      <c r="O38" s="30">
        <f t="shared" si="5"/>
        <v>0</v>
      </c>
    </row>
    <row r="39" spans="1:15" x14ac:dyDescent="0.2">
      <c r="A39" s="21" t="s">
        <v>0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x14ac:dyDescent="0.2">
      <c r="A40" s="27" t="s">
        <v>30</v>
      </c>
      <c r="B40" s="22">
        <v>720000</v>
      </c>
      <c r="C40" s="22">
        <v>60000</v>
      </c>
      <c r="D40" s="22">
        <v>60000</v>
      </c>
      <c r="E40" s="22">
        <v>60000</v>
      </c>
      <c r="F40" s="22">
        <v>60000</v>
      </c>
      <c r="G40" s="22">
        <v>60000</v>
      </c>
      <c r="H40" s="22">
        <v>60000</v>
      </c>
      <c r="I40" s="22">
        <v>60000</v>
      </c>
      <c r="J40" s="22">
        <v>60000</v>
      </c>
      <c r="K40" s="22">
        <v>60000</v>
      </c>
      <c r="L40" s="22">
        <v>60000</v>
      </c>
      <c r="M40" s="22">
        <v>60000</v>
      </c>
      <c r="N40" s="22">
        <v>60000</v>
      </c>
      <c r="O40" s="22">
        <f>SUM(C40:N40)-B40</f>
        <v>0</v>
      </c>
    </row>
    <row r="41" spans="1:15" x14ac:dyDescent="0.2">
      <c r="A41" s="27" t="s">
        <v>31</v>
      </c>
      <c r="B41" s="22">
        <v>50000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>
        <v>50000</v>
      </c>
      <c r="O41" s="22">
        <f>SUM(C41:N41)-B41</f>
        <v>0</v>
      </c>
    </row>
    <row r="42" spans="1:15" x14ac:dyDescent="0.2">
      <c r="A42" s="21" t="s">
        <v>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27" t="s">
        <v>32</v>
      </c>
      <c r="B43" s="22">
        <f>B15-B26-B32+B38-B40-B41</f>
        <v>1090000</v>
      </c>
      <c r="C43" s="22">
        <f>C15-C26-C32+C38-C40-C41</f>
        <v>408000</v>
      </c>
      <c r="D43" s="22">
        <f t="shared" ref="D43:O43" si="6">D15-D26-D32+D38-D40-D41</f>
        <v>-357900</v>
      </c>
      <c r="E43" s="22">
        <f t="shared" si="6"/>
        <v>-301250</v>
      </c>
      <c r="F43" s="22">
        <f t="shared" si="6"/>
        <v>220500</v>
      </c>
      <c r="G43" s="22">
        <f t="shared" si="6"/>
        <v>396000</v>
      </c>
      <c r="H43" s="22">
        <f t="shared" si="6"/>
        <v>351900</v>
      </c>
      <c r="I43" s="22">
        <f t="shared" si="6"/>
        <v>90500</v>
      </c>
      <c r="J43" s="22">
        <f t="shared" si="6"/>
        <v>-64000</v>
      </c>
      <c r="K43" s="22">
        <f t="shared" si="6"/>
        <v>109500</v>
      </c>
      <c r="L43" s="22">
        <f t="shared" si="6"/>
        <v>119500</v>
      </c>
      <c r="M43" s="22">
        <f t="shared" si="6"/>
        <v>-250750</v>
      </c>
      <c r="N43" s="22">
        <f t="shared" si="6"/>
        <v>368000</v>
      </c>
      <c r="O43" s="22">
        <f t="shared" si="6"/>
        <v>0</v>
      </c>
    </row>
    <row r="44" spans="1:15" x14ac:dyDescent="0.2">
      <c r="A44" s="21" t="s">
        <v>0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">
      <c r="A45" s="26" t="s">
        <v>33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x14ac:dyDescent="0.2">
      <c r="A46" s="27" t="s">
        <v>34</v>
      </c>
      <c r="B46" s="22">
        <v>20000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>
        <v>20000</v>
      </c>
      <c r="O46" s="22">
        <f t="shared" ref="O46:O47" si="7">SUM(C46:N46)-B46</f>
        <v>0</v>
      </c>
    </row>
    <row r="47" spans="1:15" x14ac:dyDescent="0.2">
      <c r="A47" s="27" t="s">
        <v>35</v>
      </c>
      <c r="B47" s="22">
        <v>300000</v>
      </c>
      <c r="C47" s="22">
        <v>18000</v>
      </c>
      <c r="D47" s="22">
        <v>18000</v>
      </c>
      <c r="E47" s="22">
        <v>18000</v>
      </c>
      <c r="F47" s="22">
        <v>18000</v>
      </c>
      <c r="G47" s="22">
        <v>18000</v>
      </c>
      <c r="H47" s="22">
        <v>30000</v>
      </c>
      <c r="I47" s="22">
        <v>30000</v>
      </c>
      <c r="J47" s="22">
        <v>30000</v>
      </c>
      <c r="K47" s="22">
        <v>30000</v>
      </c>
      <c r="L47" s="22">
        <v>30000</v>
      </c>
      <c r="M47" s="22">
        <v>30000</v>
      </c>
      <c r="N47" s="22">
        <v>30000</v>
      </c>
      <c r="O47" s="22">
        <f t="shared" si="7"/>
        <v>0</v>
      </c>
    </row>
    <row r="48" spans="1:15" x14ac:dyDescent="0.2">
      <c r="A48" s="32" t="s">
        <v>36</v>
      </c>
      <c r="B48" s="33">
        <f>B46-B47</f>
        <v>-280000</v>
      </c>
      <c r="C48" s="33">
        <f>C46-C47</f>
        <v>-18000</v>
      </c>
      <c r="D48" s="33">
        <f t="shared" ref="D48:O48" si="8">D46-D47</f>
        <v>-18000</v>
      </c>
      <c r="E48" s="33">
        <f t="shared" si="8"/>
        <v>-18000</v>
      </c>
      <c r="F48" s="33">
        <f t="shared" si="8"/>
        <v>-18000</v>
      </c>
      <c r="G48" s="33">
        <f t="shared" si="8"/>
        <v>-18000</v>
      </c>
      <c r="H48" s="33">
        <f t="shared" si="8"/>
        <v>-30000</v>
      </c>
      <c r="I48" s="33">
        <f t="shared" si="8"/>
        <v>-30000</v>
      </c>
      <c r="J48" s="33">
        <f t="shared" si="8"/>
        <v>-30000</v>
      </c>
      <c r="K48" s="33">
        <f t="shared" si="8"/>
        <v>-30000</v>
      </c>
      <c r="L48" s="33">
        <f t="shared" si="8"/>
        <v>-30000</v>
      </c>
      <c r="M48" s="33">
        <f t="shared" si="8"/>
        <v>-30000</v>
      </c>
      <c r="N48" s="33">
        <f t="shared" si="8"/>
        <v>-10000</v>
      </c>
      <c r="O48" s="33">
        <f t="shared" si="8"/>
        <v>0</v>
      </c>
    </row>
    <row r="49" spans="1:15" x14ac:dyDescent="0.2">
      <c r="A49" s="21" t="s">
        <v>0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x14ac:dyDescent="0.2">
      <c r="A50" s="29" t="s">
        <v>60</v>
      </c>
      <c r="B50" s="30">
        <f>B43+B48</f>
        <v>810000</v>
      </c>
      <c r="C50" s="30">
        <f>C43+C48</f>
        <v>390000</v>
      </c>
      <c r="D50" s="30">
        <f t="shared" ref="D50:O50" si="9">D43+D48</f>
        <v>-375900</v>
      </c>
      <c r="E50" s="30">
        <f t="shared" si="9"/>
        <v>-319250</v>
      </c>
      <c r="F50" s="30">
        <f t="shared" si="9"/>
        <v>202500</v>
      </c>
      <c r="G50" s="30">
        <f t="shared" si="9"/>
        <v>378000</v>
      </c>
      <c r="H50" s="30">
        <f t="shared" si="9"/>
        <v>321900</v>
      </c>
      <c r="I50" s="30">
        <f t="shared" si="9"/>
        <v>60500</v>
      </c>
      <c r="J50" s="30">
        <f t="shared" si="9"/>
        <v>-94000</v>
      </c>
      <c r="K50" s="30">
        <f t="shared" si="9"/>
        <v>79500</v>
      </c>
      <c r="L50" s="30">
        <f t="shared" si="9"/>
        <v>89500</v>
      </c>
      <c r="M50" s="30">
        <f t="shared" si="9"/>
        <v>-280750</v>
      </c>
      <c r="N50" s="30">
        <f t="shared" si="9"/>
        <v>358000</v>
      </c>
      <c r="O50" s="30">
        <f t="shared" si="9"/>
        <v>0</v>
      </c>
    </row>
    <row r="51" spans="1:15" x14ac:dyDescent="0.2">
      <c r="A51" s="21" t="s">
        <v>0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s="22" customFormat="1" x14ac:dyDescent="0.2">
      <c r="A52" s="26"/>
    </row>
    <row r="53" spans="1:15" s="22" customFormat="1" x14ac:dyDescent="0.2">
      <c r="A53" s="27"/>
    </row>
    <row r="54" spans="1:15" s="22" customFormat="1" x14ac:dyDescent="0.2">
      <c r="A54" s="27"/>
    </row>
    <row r="55" spans="1:15" s="22" customFormat="1" x14ac:dyDescent="0.2">
      <c r="A55" s="34"/>
      <c r="B55" s="35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</sheetData>
  <mergeCells count="1">
    <mergeCell ref="C2:N2"/>
  </mergeCells>
  <pageMargins left="0.7" right="0.7" top="0.75" bottom="0.75" header="0.3" footer="0.3"/>
  <pageSetup scale="49" fitToHeight="10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CF18F661FEC469725585FB3E6D907" ma:contentTypeVersion="15" ma:contentTypeDescription="Opprett et nytt dokument." ma:contentTypeScope="" ma:versionID="cc312dfc30cf89da4ca3f8c871291ce2">
  <xsd:schema xmlns:xsd="http://www.w3.org/2001/XMLSchema" xmlns:xs="http://www.w3.org/2001/XMLSchema" xmlns:p="http://schemas.microsoft.com/office/2006/metadata/properties" xmlns:ns2="fd8be814-26a7-45f7-92ae-525d4f142804" xmlns:ns3="f05fc480-761f-467b-a0fe-9251ba3b34cd" targetNamespace="http://schemas.microsoft.com/office/2006/metadata/properties" ma:root="true" ma:fieldsID="aca7a995a26a0e5e9ee74520dbfac428" ns2:_="" ns3:_="">
    <xsd:import namespace="fd8be814-26a7-45f7-92ae-525d4f142804"/>
    <xsd:import namespace="f05fc480-761f-467b-a0fe-9251ba3b3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be814-26a7-45f7-92ae-525d4f142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ca1a75ff-8e63-4ad6-a940-9e766176cc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fc480-761f-467b-a0fe-9251ba3b34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745142-13f8-4ba0-958d-9c6c6820ff21}" ma:internalName="TaxCatchAll" ma:showField="CatchAllData" ma:web="f05fc480-761f-467b-a0fe-9251ba3b3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8be814-26a7-45f7-92ae-525d4f142804">
      <Terms xmlns="http://schemas.microsoft.com/office/infopath/2007/PartnerControls"/>
    </lcf76f155ced4ddcb4097134ff3c332f>
    <TaxCatchAll xmlns="f05fc480-761f-467b-a0fe-9251ba3b34cd" xsi:nil="true"/>
  </documentManagement>
</p:properties>
</file>

<file path=customXml/itemProps1.xml><?xml version="1.0" encoding="utf-8"?>
<ds:datastoreItem xmlns:ds="http://schemas.openxmlformats.org/officeDocument/2006/customXml" ds:itemID="{05CBF403-299F-4048-B89C-2EC3C46A4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be814-26a7-45f7-92ae-525d4f142804"/>
    <ds:schemaRef ds:uri="f05fc480-761f-467b-a0fe-9251ba3b3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8CDFDF-A378-4782-981D-7D74B1B39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20B38C-061A-4429-928D-63A86A31118D}">
  <ds:schemaRefs>
    <ds:schemaRef ds:uri="http://schemas.microsoft.com/office/2006/metadata/properties"/>
    <ds:schemaRef ds:uri="http://schemas.microsoft.com/office/infopath/2007/PartnerControls"/>
    <ds:schemaRef ds:uri="fd8be814-26a7-45f7-92ae-525d4f142804"/>
    <ds:schemaRef ds:uri="f05fc480-761f-467b-a0fe-9251ba3b34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 2025</vt:lpstr>
      <vt:lpstr>Faktisk 2024 pr mnd</vt:lpstr>
      <vt:lpstr>Budsjett 2024 pr mnd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Stensrud Bakke</dc:creator>
  <cp:lastModifiedBy>Adrian Hansen</cp:lastModifiedBy>
  <cp:lastPrinted>2025-03-12T15:39:13Z</cp:lastPrinted>
  <dcterms:created xsi:type="dcterms:W3CDTF">2024-02-10T10:13:36Z</dcterms:created>
  <dcterms:modified xsi:type="dcterms:W3CDTF">2025-03-12T19:58:18Z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0x01010021CCF18F661FEC469725585FB3E6D907</vt:lpwstr>
  </property>
  <property fmtid="{D5CDD505-2E9C-101B-9397-08002B2CF9AE}" pid="3" name="MediaServiceImageTags">
    <vt:lpwstr/>
  </property>
</Properties>
</file>